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toy\Desktop\鋼橋技術研究会\【報告書】\"/>
    </mc:Choice>
  </mc:AlternateContent>
  <bookViews>
    <workbookView xWindow="0" yWindow="0" windowWidth="14955" windowHeight="10740" activeTab="3"/>
  </bookViews>
  <sheets>
    <sheet name="落橋防止構造一般図 " sheetId="8" r:id="rId1"/>
    <sheet name="落橋防止構造" sheetId="1" r:id="rId2"/>
    <sheet name="水平力分担構造一般図" sheetId="7" r:id="rId3"/>
    <sheet name="水平力分担構造" sheetId="6" r:id="rId4"/>
  </sheets>
  <definedNames>
    <definedName name="_xlnm.Print_Area" localSheetId="3">水平力分担構造!$A$1:$AA$601</definedName>
    <definedName name="_xlnm.Print_Area" localSheetId="1">落橋防止構造!$A$1:$W$320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40" i="6" l="1"/>
  <c r="G500" i="6" l="1"/>
  <c r="Y142" i="6" l="1"/>
  <c r="V142" i="6"/>
  <c r="V117" i="6"/>
  <c r="J115" i="6"/>
  <c r="J117" i="6"/>
  <c r="J118" i="6"/>
  <c r="J136" i="6"/>
  <c r="I291" i="6"/>
  <c r="C360" i="6"/>
  <c r="C590" i="6"/>
  <c r="T500" i="6"/>
  <c r="T545" i="6" l="1"/>
  <c r="P518" i="6"/>
  <c r="L600" i="6" s="1"/>
  <c r="G355" i="6"/>
  <c r="G397" i="6"/>
  <c r="G360" i="6"/>
  <c r="G329" i="6"/>
  <c r="Q307" i="6"/>
  <c r="K280" i="6"/>
  <c r="I235" i="6"/>
  <c r="G196" i="6"/>
  <c r="J137" i="6"/>
  <c r="V136" i="6"/>
  <c r="J135" i="6"/>
  <c r="S298" i="1"/>
  <c r="Q293" i="1"/>
  <c r="Q292" i="1"/>
  <c r="E216" i="1"/>
  <c r="J154" i="1"/>
  <c r="F305" i="1"/>
  <c r="Q298" i="1"/>
  <c r="M298" i="1"/>
  <c r="K298" i="1"/>
  <c r="F299" i="1"/>
  <c r="F246" i="1"/>
  <c r="H229" i="1"/>
  <c r="N248" i="1"/>
  <c r="Z19" i="1"/>
  <c r="R21" i="1" s="1"/>
  <c r="F148" i="1" l="1"/>
  <c r="F182" i="1" s="1"/>
  <c r="Z18" i="1"/>
  <c r="R24" i="1" s="1"/>
  <c r="V135" i="6" l="1"/>
  <c r="P148" i="6"/>
  <c r="V148" i="6"/>
  <c r="Y148" i="6"/>
  <c r="J148" i="6"/>
  <c r="K481" i="6"/>
  <c r="K422" i="6"/>
  <c r="H229" i="6"/>
  <c r="G247" i="6"/>
  <c r="K89" i="6" l="1"/>
  <c r="K86" i="6"/>
  <c r="K81" i="6"/>
  <c r="K78" i="6"/>
  <c r="P89" i="6"/>
  <c r="P86" i="6"/>
  <c r="AI74" i="6"/>
  <c r="AI73" i="6"/>
  <c r="P81" i="6"/>
  <c r="P78" i="6"/>
  <c r="S86" i="6" l="1"/>
  <c r="S89" i="6"/>
  <c r="Y117" i="6" l="1"/>
  <c r="Y118" i="6" s="1"/>
  <c r="V118" i="6"/>
  <c r="L579" i="6" l="1"/>
  <c r="I580" i="6" s="1"/>
  <c r="G330" i="6"/>
  <c r="H174" i="6"/>
  <c r="J174" i="6"/>
  <c r="L174" i="6"/>
  <c r="N174" i="6"/>
  <c r="H175" i="6"/>
  <c r="J175" i="6"/>
  <c r="L175" i="6"/>
  <c r="N175" i="6"/>
  <c r="H176" i="6"/>
  <c r="J176" i="6"/>
  <c r="L176" i="6"/>
  <c r="N176" i="6"/>
  <c r="H177" i="6"/>
  <c r="J177" i="6"/>
  <c r="L177" i="6"/>
  <c r="N177" i="6"/>
  <c r="H178" i="6"/>
  <c r="J178" i="6"/>
  <c r="L178" i="6"/>
  <c r="N178" i="6"/>
  <c r="H179" i="6"/>
  <c r="J179" i="6"/>
  <c r="L179" i="6"/>
  <c r="N179" i="6"/>
  <c r="J173" i="6"/>
  <c r="L173" i="6"/>
  <c r="N173" i="6"/>
  <c r="H173" i="6"/>
  <c r="H172" i="6"/>
  <c r="N172" i="6"/>
  <c r="L172" i="6"/>
  <c r="J172" i="6"/>
  <c r="Y136" i="6" l="1"/>
  <c r="Y126" i="6"/>
  <c r="V126" i="6"/>
  <c r="Y123" i="6"/>
  <c r="Y135" i="6" s="1"/>
  <c r="V123" i="6"/>
  <c r="P123" i="6"/>
  <c r="P135" i="6" s="1"/>
  <c r="P136" i="6"/>
  <c r="J123" i="6"/>
  <c r="F298" i="1"/>
  <c r="T290" i="1"/>
  <c r="F181" i="1" l="1"/>
  <c r="F147" i="1"/>
  <c r="L112" i="1"/>
  <c r="V97" i="1"/>
  <c r="U97" i="1"/>
  <c r="V92" i="1"/>
  <c r="U92" i="1"/>
  <c r="AG92" i="1"/>
  <c r="AG91" i="1"/>
  <c r="S67" i="1"/>
  <c r="G234" i="1" s="1"/>
  <c r="S64" i="1"/>
  <c r="Q92" i="1" s="1"/>
  <c r="S61" i="1"/>
  <c r="D52" i="1"/>
  <c r="L48" i="1"/>
  <c r="L44" i="1"/>
  <c r="F39" i="1"/>
  <c r="D39" i="1"/>
  <c r="F34" i="1"/>
  <c r="D34" i="1"/>
  <c r="D29" i="1"/>
  <c r="G29" i="1"/>
  <c r="D35" i="1" l="1"/>
  <c r="H44" i="1" s="1"/>
  <c r="Q93" i="1"/>
  <c r="D40" i="1"/>
  <c r="G52" i="1" s="1"/>
  <c r="D53" i="1" s="1"/>
  <c r="J589" i="6"/>
  <c r="N588" i="6"/>
  <c r="D588" i="6"/>
  <c r="H48" i="1" l="1"/>
  <c r="P44" i="1"/>
  <c r="P48" i="1"/>
  <c r="P545" i="6"/>
  <c r="P531" i="6"/>
  <c r="R523" i="6"/>
  <c r="P523" i="6"/>
  <c r="P513" i="6"/>
  <c r="P537" i="6" s="1"/>
  <c r="K452" i="6"/>
  <c r="H498" i="6"/>
  <c r="H497" i="6"/>
  <c r="O490" i="6"/>
  <c r="T490" i="6" s="1"/>
  <c r="O486" i="6"/>
  <c r="T486" i="6" s="1"/>
  <c r="H438" i="6"/>
  <c r="H439" i="6"/>
  <c r="Q291" i="6"/>
  <c r="O431" i="6"/>
  <c r="T431" i="6" s="1"/>
  <c r="Q235" i="6"/>
  <c r="Q286" i="6"/>
  <c r="O427" i="6"/>
  <c r="T427" i="6" s="1"/>
  <c r="K397" i="6"/>
  <c r="K355" i="6"/>
  <c r="G342" i="6"/>
  <c r="G343" i="6"/>
  <c r="G337" i="6"/>
  <c r="G336" i="6"/>
  <c r="K381" i="6"/>
  <c r="G305" i="6"/>
  <c r="M549" i="6" l="1"/>
  <c r="L550" i="6" s="1"/>
  <c r="I574" i="6"/>
  <c r="I579" i="6" s="1"/>
  <c r="O589" i="6" s="1"/>
  <c r="P524" i="6"/>
  <c r="T537" i="6" s="1"/>
  <c r="M439" i="6"/>
  <c r="G441" i="6" s="1"/>
  <c r="T441" i="6" s="1"/>
  <c r="M498" i="6"/>
  <c r="G345" i="6"/>
  <c r="G339" i="6"/>
  <c r="C367" i="6" s="1"/>
  <c r="U386" i="6"/>
  <c r="Q97" i="1"/>
  <c r="I109" i="1"/>
  <c r="N109" i="1" s="1"/>
  <c r="Q154" i="1" s="1"/>
  <c r="L109" i="1"/>
  <c r="F230" i="1"/>
  <c r="H255" i="1"/>
  <c r="G264" i="1"/>
  <c r="L264" i="1"/>
  <c r="F278" i="1"/>
  <c r="N307" i="1" s="1"/>
  <c r="F317" i="1"/>
  <c r="I286" i="6"/>
  <c r="K249" i="6"/>
  <c r="I240" i="6"/>
  <c r="P527" i="6" s="1"/>
  <c r="K196" i="6"/>
  <c r="L163" i="6"/>
  <c r="J163" i="6"/>
  <c r="Y141" i="6"/>
  <c r="V141" i="6"/>
  <c r="P141" i="6"/>
  <c r="J141" i="6"/>
  <c r="S78" i="6"/>
  <c r="S81" i="6"/>
  <c r="G166" i="6" l="1"/>
  <c r="S527" i="6" s="1"/>
  <c r="K219" i="1"/>
  <c r="K220" i="1"/>
  <c r="P115" i="6"/>
  <c r="E361" i="6"/>
  <c r="E362" i="6"/>
  <c r="E363" i="6"/>
  <c r="E364" i="6"/>
  <c r="E365" i="6"/>
  <c r="E366" i="6"/>
  <c r="E367" i="6"/>
  <c r="E360" i="6"/>
  <c r="I360" i="6"/>
  <c r="G361" i="6"/>
  <c r="I361" i="6" s="1"/>
  <c r="C361" i="6"/>
  <c r="G362" i="6"/>
  <c r="I362" i="6" s="1"/>
  <c r="C362" i="6"/>
  <c r="G363" i="6"/>
  <c r="I363" i="6" s="1"/>
  <c r="C363" i="6"/>
  <c r="G364" i="6"/>
  <c r="I364" i="6" s="1"/>
  <c r="C364" i="6"/>
  <c r="G365" i="6"/>
  <c r="I365" i="6" s="1"/>
  <c r="C365" i="6"/>
  <c r="G366" i="6"/>
  <c r="I366" i="6" s="1"/>
  <c r="C366" i="6"/>
  <c r="G367" i="6"/>
  <c r="I367" i="6" s="1"/>
  <c r="D598" i="6"/>
  <c r="F184" i="1"/>
  <c r="F150" i="1"/>
  <c r="G253" i="6"/>
  <c r="G254" i="6" s="1"/>
  <c r="G204" i="6"/>
  <c r="G249" i="6"/>
  <c r="G250" i="6" s="1"/>
  <c r="G257" i="6"/>
  <c r="G197" i="6"/>
  <c r="P117" i="6" s="1"/>
  <c r="U286" i="6"/>
  <c r="G200" i="6"/>
  <c r="G201" i="6" s="1"/>
  <c r="Q98" i="1"/>
  <c r="F255" i="1"/>
  <c r="K222" i="1"/>
  <c r="K213" i="1"/>
  <c r="N317" i="1"/>
  <c r="T317" i="1" s="1"/>
  <c r="K211" i="1"/>
  <c r="K216" i="1"/>
  <c r="K223" i="1"/>
  <c r="K214" i="1"/>
  <c r="K218" i="1"/>
  <c r="K221" i="1"/>
  <c r="K212" i="1"/>
  <c r="K215" i="1"/>
  <c r="V240" i="6"/>
  <c r="U291" i="6"/>
  <c r="V235" i="6"/>
  <c r="G299" i="6"/>
  <c r="G36" i="6"/>
  <c r="G35" i="6"/>
  <c r="G26" i="6"/>
  <c r="G25" i="6"/>
  <c r="J192" i="1" l="1"/>
  <c r="O192" i="1" s="1"/>
  <c r="J199" i="1"/>
  <c r="O199" i="1" s="1"/>
  <c r="J158" i="1"/>
  <c r="O158" i="1" s="1"/>
  <c r="J165" i="1"/>
  <c r="O165" i="1" s="1"/>
  <c r="P118" i="6"/>
  <c r="I368" i="6"/>
  <c r="P137" i="6"/>
  <c r="J162" i="1"/>
  <c r="O162" i="1" s="1"/>
  <c r="J156" i="1"/>
  <c r="O156" i="1" s="1"/>
  <c r="J155" i="1"/>
  <c r="O155" i="1" s="1"/>
  <c r="J163" i="1"/>
  <c r="O163" i="1" s="1"/>
  <c r="J161" i="1"/>
  <c r="O161" i="1" s="1"/>
  <c r="J157" i="1"/>
  <c r="O157" i="1" s="1"/>
  <c r="J164" i="1"/>
  <c r="O164" i="1" s="1"/>
  <c r="J190" i="1"/>
  <c r="O190" i="1" s="1"/>
  <c r="J197" i="1"/>
  <c r="O197" i="1" s="1"/>
  <c r="J188" i="1"/>
  <c r="O188" i="1" s="1"/>
  <c r="J195" i="1"/>
  <c r="J189" i="1"/>
  <c r="O189" i="1" s="1"/>
  <c r="J196" i="1"/>
  <c r="O196" i="1" s="1"/>
  <c r="J191" i="1"/>
  <c r="O191" i="1" s="1"/>
  <c r="J198" i="1"/>
  <c r="O198" i="1" s="1"/>
  <c r="K234" i="1"/>
  <c r="F235" i="1" s="1"/>
  <c r="I112" i="1"/>
  <c r="N112" i="1" s="1"/>
  <c r="G356" i="6"/>
  <c r="G452" i="6"/>
  <c r="G453" i="6" s="1"/>
  <c r="G398" i="6"/>
  <c r="I305" i="6"/>
  <c r="P528" i="6"/>
  <c r="D597" i="6" s="1"/>
  <c r="D600" i="6" s="1"/>
  <c r="T600" i="6" s="1"/>
  <c r="G304" i="6"/>
  <c r="G28" i="6"/>
  <c r="K28" i="6" s="1"/>
  <c r="G38" i="6"/>
  <c r="K38" i="6" s="1"/>
  <c r="O154" i="1" l="1"/>
  <c r="O168" i="1" s="1"/>
  <c r="F254" i="1"/>
  <c r="F257" i="1" s="1"/>
  <c r="O195" i="1"/>
  <c r="O202" i="1" s="1"/>
  <c r="Q199" i="1" s="1"/>
  <c r="O361" i="6"/>
  <c r="T361" i="6" s="1"/>
  <c r="L366" i="6"/>
  <c r="R366" i="6" s="1"/>
  <c r="O363" i="6"/>
  <c r="T363" i="6" s="1"/>
  <c r="O365" i="6"/>
  <c r="T365" i="6" s="1"/>
  <c r="L362" i="6"/>
  <c r="R362" i="6" s="1"/>
  <c r="O366" i="6"/>
  <c r="T366" i="6" s="1"/>
  <c r="L361" i="6"/>
  <c r="R361" i="6" s="1"/>
  <c r="O367" i="6"/>
  <c r="T367" i="6" s="1"/>
  <c r="O362" i="6"/>
  <c r="T362" i="6" s="1"/>
  <c r="L365" i="6"/>
  <c r="R365" i="6" s="1"/>
  <c r="L364" i="6"/>
  <c r="R364" i="6" s="1"/>
  <c r="O364" i="6"/>
  <c r="T364" i="6" s="1"/>
  <c r="L363" i="6"/>
  <c r="R363" i="6" s="1"/>
  <c r="L360" i="6"/>
  <c r="R360" i="6" s="1"/>
  <c r="L367" i="6"/>
  <c r="R367" i="6" s="1"/>
  <c r="O360" i="6"/>
  <c r="T360" i="6" s="1"/>
  <c r="G307" i="6"/>
  <c r="V307" i="6" s="1"/>
  <c r="Q536" i="6"/>
  <c r="P539" i="6" s="1"/>
  <c r="Q544" i="6"/>
  <c r="P547" i="6" s="1"/>
  <c r="D30" i="1"/>
  <c r="Q188" i="1" l="1"/>
  <c r="G211" i="1" s="1"/>
  <c r="Q192" i="1"/>
  <c r="G215" i="1" s="1"/>
  <c r="Q165" i="1"/>
  <c r="E222" i="1" s="1"/>
  <c r="Q162" i="1"/>
  <c r="E219" i="1" s="1"/>
  <c r="Q158" i="1"/>
  <c r="E215" i="1" s="1"/>
  <c r="L263" i="1"/>
  <c r="T257" i="1"/>
  <c r="Q195" i="1"/>
  <c r="G218" i="1" s="1"/>
  <c r="Q189" i="1"/>
  <c r="G212" i="1" s="1"/>
  <c r="V361" i="6"/>
  <c r="Z361" i="6" s="1"/>
  <c r="Q164" i="1"/>
  <c r="E221" i="1" s="1"/>
  <c r="E223" i="1"/>
  <c r="Q157" i="1"/>
  <c r="E214" i="1" s="1"/>
  <c r="Q155" i="1"/>
  <c r="E212" i="1" s="1"/>
  <c r="Q161" i="1"/>
  <c r="E218" i="1" s="1"/>
  <c r="Q163" i="1"/>
  <c r="E220" i="1" s="1"/>
  <c r="E211" i="1"/>
  <c r="Q156" i="1"/>
  <c r="E213" i="1" s="1"/>
  <c r="Q190" i="1"/>
  <c r="G213" i="1" s="1"/>
  <c r="Q191" i="1"/>
  <c r="G214" i="1" s="1"/>
  <c r="G223" i="1"/>
  <c r="V362" i="6"/>
  <c r="Z362" i="6" s="1"/>
  <c r="V364" i="6"/>
  <c r="Z364" i="6" s="1"/>
  <c r="V363" i="6"/>
  <c r="Z363" i="6" s="1"/>
  <c r="V365" i="6"/>
  <c r="Z365" i="6" s="1"/>
  <c r="V366" i="6"/>
  <c r="Z366" i="6" s="1"/>
  <c r="V367" i="6"/>
  <c r="Z367" i="6" s="1"/>
  <c r="V360" i="6"/>
  <c r="G222" i="1"/>
  <c r="Q198" i="1"/>
  <c r="G221" i="1" s="1"/>
  <c r="G216" i="1"/>
  <c r="Q196" i="1"/>
  <c r="G219" i="1" s="1"/>
  <c r="Q197" i="1"/>
  <c r="G220" i="1" s="1"/>
  <c r="D44" i="1"/>
  <c r="D45" i="1" s="1"/>
  <c r="T45" i="1" s="1"/>
  <c r="D48" i="1"/>
  <c r="I219" i="1" l="1"/>
  <c r="P219" i="1" s="1"/>
  <c r="I211" i="1"/>
  <c r="I212" i="1"/>
  <c r="P212" i="1" s="1"/>
  <c r="I215" i="1"/>
  <c r="P215" i="1" s="1"/>
  <c r="I222" i="1"/>
  <c r="P222" i="1" s="1"/>
  <c r="I214" i="1"/>
  <c r="P214" i="1" s="1"/>
  <c r="I213" i="1"/>
  <c r="P213" i="1" s="1"/>
  <c r="I216" i="1"/>
  <c r="P216" i="1" s="1"/>
  <c r="I218" i="1"/>
  <c r="P218" i="1" s="1"/>
  <c r="I221" i="1"/>
  <c r="P221" i="1" s="1"/>
  <c r="I223" i="1"/>
  <c r="P223" i="1" s="1"/>
  <c r="I220" i="1"/>
  <c r="P220" i="1" s="1"/>
  <c r="Z360" i="6"/>
  <c r="V369" i="6"/>
  <c r="T53" i="1"/>
  <c r="P211" i="1" l="1"/>
  <c r="I225" i="1"/>
  <c r="F245" i="1"/>
  <c r="F248" i="1" s="1"/>
  <c r="D49" i="1"/>
  <c r="T49" i="1" s="1"/>
  <c r="F273" i="1" l="1"/>
  <c r="F274" i="1" s="1"/>
  <c r="F304" i="1" s="1"/>
  <c r="G263" i="1"/>
  <c r="F266" i="1" s="1"/>
  <c r="T266" i="1" s="1"/>
  <c r="T248" i="1"/>
  <c r="F307" i="1" l="1"/>
  <c r="T307" i="1" s="1"/>
</calcChain>
</file>

<file path=xl/sharedStrings.xml><?xml version="1.0" encoding="utf-8"?>
<sst xmlns="http://schemas.openxmlformats.org/spreadsheetml/2006/main" count="1421" uniqueCount="691">
  <si>
    <t>トッププレート長さ</t>
    <rPh sb="7" eb="8">
      <t>ナガ</t>
    </rPh>
    <phoneticPr fontId="2"/>
  </si>
  <si>
    <t>㎜</t>
    <phoneticPr fontId="2"/>
  </si>
  <si>
    <t>トッププレート板厚</t>
    <rPh sb="7" eb="9">
      <t>イタアツ</t>
    </rPh>
    <phoneticPr fontId="2"/>
  </si>
  <si>
    <t>㎜</t>
    <phoneticPr fontId="2"/>
  </si>
  <si>
    <t>荷重の作用高さ</t>
    <rPh sb="0" eb="2">
      <t>カジュウ</t>
    </rPh>
    <rPh sb="3" eb="5">
      <t>サヨウ</t>
    </rPh>
    <rPh sb="5" eb="6">
      <t>タカ</t>
    </rPh>
    <phoneticPr fontId="2"/>
  </si>
  <si>
    <t>チェーンの作用角度</t>
    <rPh sb="5" eb="7">
      <t>サヨウ</t>
    </rPh>
    <rPh sb="7" eb="9">
      <t>カクド</t>
    </rPh>
    <phoneticPr fontId="2"/>
  </si>
  <si>
    <t>°</t>
    <phoneticPr fontId="2"/>
  </si>
  <si>
    <t>チェーンに作用する張力</t>
    <rPh sb="5" eb="7">
      <t>サヨウ</t>
    </rPh>
    <rPh sb="9" eb="10">
      <t>ハリ</t>
    </rPh>
    <rPh sb="10" eb="11">
      <t>リョク</t>
    </rPh>
    <phoneticPr fontId="2"/>
  </si>
  <si>
    <t>ｋN</t>
    <phoneticPr fontId="2"/>
  </si>
  <si>
    <t>(</t>
    <phoneticPr fontId="2"/>
  </si>
  <si>
    <t>地震時設計水平力</t>
    <rPh sb="0" eb="2">
      <t>ジシン</t>
    </rPh>
    <rPh sb="2" eb="3">
      <t>ジ</t>
    </rPh>
    <rPh sb="3" eb="5">
      <t>セッケイ</t>
    </rPh>
    <rPh sb="5" eb="7">
      <t>スイヘイ</t>
    </rPh>
    <rPh sb="7" eb="8">
      <t>リョク</t>
    </rPh>
    <phoneticPr fontId="2"/>
  </si>
  <si>
    <t>作用鉛直力</t>
    <rPh sb="0" eb="2">
      <t>サヨウ</t>
    </rPh>
    <rPh sb="2" eb="4">
      <t>エンチョク</t>
    </rPh>
    <rPh sb="4" eb="5">
      <t>リョク</t>
    </rPh>
    <phoneticPr fontId="2"/>
  </si>
  <si>
    <t>VR</t>
  </si>
  <si>
    <t>=</t>
  </si>
  <si>
    <t>N・㎜</t>
    <phoneticPr fontId="2"/>
  </si>
  <si>
    <t>ｘ</t>
  </si>
  <si>
    <t>ｘ</t>
    <phoneticPr fontId="2"/>
  </si>
  <si>
    <t>①-4）応力度</t>
    <rPh sb="4" eb="6">
      <t>オウリョク</t>
    </rPh>
    <rPh sb="6" eb="7">
      <t>ド</t>
    </rPh>
    <phoneticPr fontId="2"/>
  </si>
  <si>
    <t>Z</t>
    <phoneticPr fontId="2"/>
  </si>
  <si>
    <t>㎜³</t>
    <phoneticPr fontId="2"/>
  </si>
  <si>
    <t>㎜²</t>
  </si>
  <si>
    <t>㎜²</t>
    <phoneticPr fontId="2"/>
  </si>
  <si>
    <t>δｔ</t>
    <phoneticPr fontId="2"/>
  </si>
  <si>
    <t>M</t>
    <phoneticPr fontId="2"/>
  </si>
  <si>
    <t>A</t>
  </si>
  <si>
    <t>A</t>
    <phoneticPr fontId="2"/>
  </si>
  <si>
    <t>L</t>
  </si>
  <si>
    <t>L</t>
    <phoneticPr fontId="2"/>
  </si>
  <si>
    <t>ｔ</t>
    <phoneticPr fontId="2"/>
  </si>
  <si>
    <t>ｈ</t>
    <phoneticPr fontId="2"/>
  </si>
  <si>
    <t>θ</t>
    <phoneticPr fontId="2"/>
  </si>
  <si>
    <t>T</t>
    <phoneticPr fontId="2"/>
  </si>
  <si>
    <t>HF</t>
    <phoneticPr fontId="2"/>
  </si>
  <si>
    <t>VR</t>
    <phoneticPr fontId="2"/>
  </si>
  <si>
    <t>/</t>
  </si>
  <si>
    <t>N/㎜²</t>
    <phoneticPr fontId="2"/>
  </si>
  <si>
    <t>≦</t>
    <phoneticPr fontId="2"/>
  </si>
  <si>
    <t>δsa</t>
    <phoneticPr fontId="2"/>
  </si>
  <si>
    <t>+</t>
  </si>
  <si>
    <t>-</t>
  </si>
  <si>
    <t>τｓ</t>
    <phoneticPr fontId="2"/>
  </si>
  <si>
    <t>τα</t>
    <phoneticPr fontId="2"/>
  </si>
  <si>
    <t>②アンカーボルトの照査</t>
    <phoneticPr fontId="2"/>
  </si>
  <si>
    <t>ベースプレート長さ</t>
    <rPh sb="7" eb="8">
      <t>ナガ</t>
    </rPh>
    <phoneticPr fontId="2"/>
  </si>
  <si>
    <t>ベースプレート厚</t>
    <rPh sb="7" eb="8">
      <t>アツ</t>
    </rPh>
    <phoneticPr fontId="2"/>
  </si>
  <si>
    <t>ベースプレートの幅</t>
    <rPh sb="8" eb="9">
      <t>ハバ</t>
    </rPh>
    <phoneticPr fontId="2"/>
  </si>
  <si>
    <t>水平方向ボルト間隔</t>
    <rPh sb="0" eb="2">
      <t>スイヘイ</t>
    </rPh>
    <rPh sb="2" eb="4">
      <t>ホウコウ</t>
    </rPh>
    <rPh sb="7" eb="9">
      <t>カンカク</t>
    </rPh>
    <phoneticPr fontId="2"/>
  </si>
  <si>
    <t>B</t>
    <phoneticPr fontId="2"/>
  </si>
  <si>
    <t>ｂ</t>
    <phoneticPr fontId="2"/>
  </si>
  <si>
    <t>㎜　　</t>
    <phoneticPr fontId="2"/>
  </si>
  <si>
    <t>ボルトの有効断面積</t>
    <rPh sb="4" eb="6">
      <t>ユウコウ</t>
    </rPh>
    <rPh sb="6" eb="9">
      <t>ダンメンセキ</t>
    </rPh>
    <phoneticPr fontId="2"/>
  </si>
  <si>
    <t>橋梁の斜角</t>
    <rPh sb="0" eb="2">
      <t>キョウリョウ</t>
    </rPh>
    <rPh sb="3" eb="5">
      <t>シャカク</t>
    </rPh>
    <phoneticPr fontId="2"/>
  </si>
  <si>
    <t>As</t>
    <phoneticPr fontId="2"/>
  </si>
  <si>
    <t>α</t>
    <phoneticPr fontId="2"/>
  </si>
  <si>
    <t>)</t>
  </si>
  <si>
    <t>㎜²</t>
    <phoneticPr fontId="2"/>
  </si>
  <si>
    <t>　　　　これより水平力は、下図に示す分力で表される。</t>
  </si>
  <si>
    <t>鋭角側</t>
    <rPh sb="0" eb="2">
      <t>エイカク</t>
    </rPh>
    <rPh sb="2" eb="3">
      <t>ガワ</t>
    </rPh>
    <phoneticPr fontId="2"/>
  </si>
  <si>
    <t>鈍角側</t>
    <rPh sb="0" eb="2">
      <t>ドンカク</t>
    </rPh>
    <rPh sb="2" eb="3">
      <t>ガワ</t>
    </rPh>
    <phoneticPr fontId="2"/>
  </si>
  <si>
    <t>Hb1</t>
    <phoneticPr fontId="2"/>
  </si>
  <si>
    <t>ｘ</t>
    <phoneticPr fontId="2"/>
  </si>
  <si>
    <t>Hb2</t>
    <phoneticPr fontId="2"/>
  </si>
  <si>
    <t>②-1）曲げモーメント</t>
    <rPh sb="4" eb="5">
      <t>マ</t>
    </rPh>
    <phoneticPr fontId="2"/>
  </si>
  <si>
    <t>(鉛直方向)</t>
  </si>
  <si>
    <t>(水平方向)</t>
  </si>
  <si>
    <t>M1</t>
    <phoneticPr fontId="2"/>
  </si>
  <si>
    <t>M2</t>
    <phoneticPr fontId="2"/>
  </si>
  <si>
    <t>アンカーボルト群中心までの距離eの計算</t>
    <rPh sb="7" eb="8">
      <t>グン</t>
    </rPh>
    <rPh sb="8" eb="10">
      <t>チュウシン</t>
    </rPh>
    <rPh sb="13" eb="15">
      <t>キョリ</t>
    </rPh>
    <rPh sb="17" eb="19">
      <t>ケイサン</t>
    </rPh>
    <phoneticPr fontId="2"/>
  </si>
  <si>
    <t>e</t>
    <phoneticPr fontId="2"/>
  </si>
  <si>
    <t>㎜</t>
    <phoneticPr fontId="2"/>
  </si>
  <si>
    <t>ボルトNo.</t>
    <phoneticPr fontId="2"/>
  </si>
  <si>
    <t>No.1 T</t>
    <phoneticPr fontId="2"/>
  </si>
  <si>
    <t>No.2 T</t>
  </si>
  <si>
    <t>No.3 T</t>
  </si>
  <si>
    <t>No.4 T</t>
  </si>
  <si>
    <t>No.5 T</t>
  </si>
  <si>
    <t>No.6 T</t>
  </si>
  <si>
    <t>No.1 C</t>
    <phoneticPr fontId="2"/>
  </si>
  <si>
    <t>No.2 C</t>
  </si>
  <si>
    <t>No.3 C</t>
  </si>
  <si>
    <t>No.4 C</t>
  </si>
  <si>
    <t>No.5 C</t>
  </si>
  <si>
    <t>No.6 C</t>
  </si>
  <si>
    <t>中立軸からの距離e
(mm)</t>
    <phoneticPr fontId="2"/>
  </si>
  <si>
    <t>本数ｎ
(本)</t>
    <rPh sb="0" eb="2">
      <t>ホンスウ</t>
    </rPh>
    <rPh sb="5" eb="6">
      <t>ホン</t>
    </rPh>
    <phoneticPr fontId="2"/>
  </si>
  <si>
    <t>n・e²
(mm²)</t>
    <phoneticPr fontId="2"/>
  </si>
  <si>
    <t>ボルト1本あたりの
Bt1(N)※1</t>
    <rPh sb="4" eb="5">
      <t>ホン</t>
    </rPh>
    <phoneticPr fontId="2"/>
  </si>
  <si>
    <t>ｙ1</t>
    <phoneticPr fontId="2"/>
  </si>
  <si>
    <t>ｙ2</t>
  </si>
  <si>
    <t>ｙ3</t>
  </si>
  <si>
    <t>ｙ4</t>
  </si>
  <si>
    <t>ｙ5</t>
  </si>
  <si>
    <t>ｙ6</t>
  </si>
  <si>
    <t>Σn</t>
    <phoneticPr fontId="2"/>
  </si>
  <si>
    <t>※1</t>
    <phoneticPr fontId="2"/>
  </si>
  <si>
    <t>ボルト1本に作用する引張力　Bt1＝M1ｘ e / Σn・e²</t>
    <rPh sb="4" eb="5">
      <t>ポン</t>
    </rPh>
    <rPh sb="6" eb="8">
      <t>サヨウ</t>
    </rPh>
    <rPh sb="10" eb="12">
      <t>ヒッパリ</t>
    </rPh>
    <rPh sb="12" eb="13">
      <t>リョク</t>
    </rPh>
    <phoneticPr fontId="2"/>
  </si>
  <si>
    <t>ベースPLは、支承改良ブラケットと兼用のため、仮想縁端距離を用いる場合がある。</t>
    <rPh sb="7" eb="9">
      <t>シショウ</t>
    </rPh>
    <rPh sb="9" eb="11">
      <t>カイリョウ</t>
    </rPh>
    <rPh sb="17" eb="19">
      <t>ケンヨウ</t>
    </rPh>
    <rPh sb="23" eb="25">
      <t>カソウ</t>
    </rPh>
    <rPh sb="25" eb="26">
      <t>エン</t>
    </rPh>
    <rPh sb="26" eb="27">
      <t>ハシ</t>
    </rPh>
    <rPh sb="27" eb="29">
      <t>キョリ</t>
    </rPh>
    <rPh sb="30" eb="31">
      <t>モチ</t>
    </rPh>
    <rPh sb="33" eb="35">
      <t>バアイ</t>
    </rPh>
    <phoneticPr fontId="2"/>
  </si>
  <si>
    <t>←sinθ</t>
    <phoneticPr fontId="2"/>
  </si>
  <si>
    <t>←cosθ</t>
    <phoneticPr fontId="2"/>
  </si>
  <si>
    <t>ｘi(mm)※3</t>
    <phoneticPr fontId="2"/>
  </si>
  <si>
    <t>※3</t>
    <phoneticPr fontId="2"/>
  </si>
  <si>
    <t>ボルト1本あたりの
Bt2(N)※2</t>
    <rPh sb="4" eb="5">
      <t>ホン</t>
    </rPh>
    <phoneticPr fontId="2"/>
  </si>
  <si>
    <t>※2</t>
    <phoneticPr fontId="2"/>
  </si>
  <si>
    <t>ボルト1本に作用する引張力　Bt2＝M2ｘ e / Σn・e²+Hb1/Σn</t>
    <phoneticPr fontId="2"/>
  </si>
  <si>
    <t>Bt1(N)</t>
    <phoneticPr fontId="2"/>
  </si>
  <si>
    <t>Bt2(N)</t>
    <phoneticPr fontId="2"/>
  </si>
  <si>
    <t>ΣBt(N)</t>
    <phoneticPr fontId="2"/>
  </si>
  <si>
    <t>判定</t>
    <rPh sb="0" eb="2">
      <t>ハンテイ</t>
    </rPh>
    <phoneticPr fontId="2"/>
  </si>
  <si>
    <t>ボルトの許容引張力</t>
    <rPh sb="4" eb="6">
      <t>キョヨウ</t>
    </rPh>
    <rPh sb="6" eb="8">
      <t>ヒッパリ</t>
    </rPh>
    <rPh sb="8" eb="9">
      <t>リョク</t>
    </rPh>
    <phoneticPr fontId="2"/>
  </si>
  <si>
    <t>Bta</t>
    <phoneticPr fontId="2"/>
  </si>
  <si>
    <t>δｔa</t>
    <phoneticPr fontId="2"/>
  </si>
  <si>
    <t>x</t>
    <phoneticPr fontId="2"/>
  </si>
  <si>
    <t>N</t>
    <phoneticPr fontId="2"/>
  </si>
  <si>
    <t>S</t>
    <phoneticPr fontId="2"/>
  </si>
  <si>
    <t>√VR²</t>
    <phoneticPr fontId="2"/>
  </si>
  <si>
    <t>√Hｂ２²</t>
    <phoneticPr fontId="2"/>
  </si>
  <si>
    <t>√</t>
    <phoneticPr fontId="2"/>
  </si>
  <si>
    <t>N</t>
    <phoneticPr fontId="2"/>
  </si>
  <si>
    <t>引張応力度</t>
    <rPh sb="0" eb="2">
      <t>ヒッパリ</t>
    </rPh>
    <rPh sb="2" eb="4">
      <t>オウリョク</t>
    </rPh>
    <rPh sb="4" eb="5">
      <t>ド</t>
    </rPh>
    <phoneticPr fontId="2"/>
  </si>
  <si>
    <t>せん断応力度</t>
    <rPh sb="2" eb="3">
      <t>ダン</t>
    </rPh>
    <rPh sb="3" eb="5">
      <t>オウリョク</t>
    </rPh>
    <rPh sb="5" eb="6">
      <t>ド</t>
    </rPh>
    <phoneticPr fontId="2"/>
  </si>
  <si>
    <t>τ</t>
  </si>
  <si>
    <t>maxΣBt</t>
    <phoneticPr fontId="2"/>
  </si>
  <si>
    <t>≦</t>
    <phoneticPr fontId="2"/>
  </si>
  <si>
    <t>・</t>
    <phoneticPr fontId="2"/>
  </si>
  <si>
    <t>τa</t>
    <phoneticPr fontId="2"/>
  </si>
  <si>
    <t>合成応力度</t>
    <rPh sb="0" eb="2">
      <t>ゴウセイ</t>
    </rPh>
    <phoneticPr fontId="2"/>
  </si>
  <si>
    <t>K</t>
    <phoneticPr fontId="2"/>
  </si>
  <si>
    <t>（</t>
    <phoneticPr fontId="2"/>
  </si>
  <si>
    <t>δa</t>
    <phoneticPr fontId="2"/>
  </si>
  <si>
    <t>)²</t>
    <phoneticPr fontId="2"/>
  </si>
  <si>
    <t>τa</t>
    <phoneticPr fontId="2"/>
  </si>
  <si>
    <t>引き抜き力</t>
    <rPh sb="0" eb="1">
      <t>ヒ</t>
    </rPh>
    <rPh sb="2" eb="3">
      <t>ヌ</t>
    </rPh>
    <rPh sb="4" eb="5">
      <t>リョク</t>
    </rPh>
    <phoneticPr fontId="2"/>
  </si>
  <si>
    <t>ｎ</t>
    <phoneticPr fontId="2"/>
  </si>
  <si>
    <t>コンクリートの許容押し抜きせん断応力度</t>
    <rPh sb="7" eb="9">
      <t>キョヨウ</t>
    </rPh>
    <rPh sb="9" eb="10">
      <t>オ</t>
    </rPh>
    <rPh sb="11" eb="12">
      <t>ヌ</t>
    </rPh>
    <rPh sb="15" eb="16">
      <t>ダン</t>
    </rPh>
    <rPh sb="16" eb="18">
      <t>オウリョク</t>
    </rPh>
    <rPh sb="18" eb="19">
      <t>ド</t>
    </rPh>
    <phoneticPr fontId="2"/>
  </si>
  <si>
    <t>τpa</t>
    <phoneticPr fontId="2"/>
  </si>
  <si>
    <t>コンクリートの押し抜きせん断抵抗面積</t>
    <rPh sb="7" eb="8">
      <t>オ</t>
    </rPh>
    <rPh sb="9" eb="10">
      <t>ヌ</t>
    </rPh>
    <rPh sb="13" eb="14">
      <t>ダン</t>
    </rPh>
    <rPh sb="14" eb="16">
      <t>テイコウ</t>
    </rPh>
    <rPh sb="16" eb="18">
      <t>メンセキ</t>
    </rPh>
    <phoneticPr fontId="2"/>
  </si>
  <si>
    <t>アンカーボルトの埋め込み長</t>
    <rPh sb="8" eb="9">
      <t>ウ</t>
    </rPh>
    <rPh sb="10" eb="11">
      <t>コ</t>
    </rPh>
    <rPh sb="12" eb="13">
      <t>チョウ</t>
    </rPh>
    <phoneticPr fontId="2"/>
  </si>
  <si>
    <t>アンカーボルト本数</t>
    <rPh sb="7" eb="9">
      <t>ホンスウ</t>
    </rPh>
    <phoneticPr fontId="2"/>
  </si>
  <si>
    <t>アンカーボルト間隔</t>
    <rPh sb="7" eb="9">
      <t>カンカク</t>
    </rPh>
    <phoneticPr fontId="2"/>
  </si>
  <si>
    <t>DL</t>
    <phoneticPr fontId="2"/>
  </si>
  <si>
    <t>mm</t>
    <phoneticPr fontId="2"/>
  </si>
  <si>
    <t>ｐ</t>
    <phoneticPr fontId="2"/>
  </si>
  <si>
    <t>本</t>
    <rPh sb="0" eb="1">
      <t>ホン</t>
    </rPh>
    <phoneticPr fontId="2"/>
  </si>
  <si>
    <t>mm</t>
    <phoneticPr fontId="2"/>
  </si>
  <si>
    <t>ｓ</t>
    <phoneticPr fontId="2"/>
  </si>
  <si>
    <t>A</t>
    <phoneticPr fontId="2"/>
  </si>
  <si>
    <t>ｒ</t>
    <phoneticPr fontId="2"/>
  </si>
  <si>
    <t>・</t>
    <phoneticPr fontId="2"/>
  </si>
  <si>
    <t>sinα</t>
    <phoneticPr fontId="2"/>
  </si>
  <si>
    <t>HF</t>
    <phoneticPr fontId="2"/>
  </si>
  <si>
    <t>cosα</t>
    <phoneticPr fontId="2"/>
  </si>
  <si>
    <t>ｈ</t>
    <phoneticPr fontId="2"/>
  </si>
  <si>
    <t>/</t>
    <phoneticPr fontId="2"/>
  </si>
  <si>
    <t>²</t>
    <phoneticPr fontId="2"/>
  </si>
  <si>
    <t>(SM490Y）</t>
    <phoneticPr fontId="2"/>
  </si>
  <si>
    <t>Z</t>
    <phoneticPr fontId="2"/>
  </si>
  <si>
    <t>VR</t>
    <phoneticPr fontId="2"/>
  </si>
  <si>
    <t>使用アンカーボルトの径 ： D38 (SD345 ： ネジ径 M36 )</t>
    <rPh sb="0" eb="2">
      <t>シヨウ</t>
    </rPh>
    <rPh sb="10" eb="11">
      <t>ケイ</t>
    </rPh>
    <phoneticPr fontId="2"/>
  </si>
  <si>
    <t>VR</t>
    <phoneticPr fontId="2"/>
  </si>
  <si>
    <t>h</t>
    <phoneticPr fontId="2"/>
  </si>
  <si>
    <t>Hb2</t>
    <phoneticPr fontId="2"/>
  </si>
  <si>
    <t>L²</t>
    <phoneticPr fontId="2"/>
  </si>
  <si>
    <t>π</t>
    <phoneticPr fontId="2"/>
  </si>
  <si>
    <t xml:space="preserve"> ｒ </t>
    <phoneticPr fontId="2"/>
  </si>
  <si>
    <t xml:space="preserve"> ｓ </t>
    <phoneticPr fontId="2"/>
  </si>
  <si>
    <t xml:space="preserve"> π</t>
    <phoneticPr fontId="2"/>
  </si>
  <si>
    <t xml:space="preserve"> d</t>
    <phoneticPr fontId="2"/>
  </si>
  <si>
    <t xml:space="preserve"> ・</t>
    <phoneticPr fontId="2"/>
  </si>
  <si>
    <t xml:space="preserve"> L</t>
    <phoneticPr fontId="2"/>
  </si>
  <si>
    <t>π</t>
    <phoneticPr fontId="2"/>
  </si>
  <si>
    <t>x</t>
    <phoneticPr fontId="2"/>
  </si>
  <si>
    <t>N/㎜²</t>
    <phoneticPr fontId="2"/>
  </si>
  <si>
    <t>τp</t>
  </si>
  <si>
    <t>※アンカー群としての照査(アンカー群抵抗面積は参考資料を参照)</t>
    <rPh sb="5" eb="6">
      <t>グン</t>
    </rPh>
    <rPh sb="10" eb="12">
      <t>ショウサ</t>
    </rPh>
    <rPh sb="17" eb="18">
      <t>グン</t>
    </rPh>
    <rPh sb="18" eb="20">
      <t>テイコウ</t>
    </rPh>
    <rPh sb="20" eb="22">
      <t>メンセキ</t>
    </rPh>
    <rPh sb="23" eb="25">
      <t>サンコウ</t>
    </rPh>
    <rPh sb="25" eb="27">
      <t>シリョウ</t>
    </rPh>
    <rPh sb="28" eb="30">
      <t>サンショウ</t>
    </rPh>
    <phoneticPr fontId="2"/>
  </si>
  <si>
    <t>ΣT</t>
    <phoneticPr fontId="2"/>
  </si>
  <si>
    <t>　以上の結果より、落橋防止構造としてのアンカーボルト径および本数が決定した。</t>
    <phoneticPr fontId="2"/>
  </si>
  <si>
    <t>ただし、当該ブラケット(下部工側)は、支承改良ブラケットと兼用している。</t>
    <phoneticPr fontId="2"/>
  </si>
  <si>
    <t>maxΣBt</t>
    <phoneticPr fontId="2"/>
  </si>
  <si>
    <t>H1</t>
    <phoneticPr fontId="2"/>
  </si>
  <si>
    <t>n</t>
    <phoneticPr fontId="2"/>
  </si>
  <si>
    <t>n</t>
    <phoneticPr fontId="2"/>
  </si>
  <si>
    <t>作用力</t>
    <rPh sb="0" eb="2">
      <t>サヨウ</t>
    </rPh>
    <rPh sb="2" eb="3">
      <t>リョク</t>
    </rPh>
    <phoneticPr fontId="2"/>
  </si>
  <si>
    <t>曲げモーメント</t>
    <rPh sb="0" eb="1">
      <t>マ</t>
    </rPh>
    <phoneticPr fontId="2"/>
  </si>
  <si>
    <t>kN</t>
    <phoneticPr fontId="2"/>
  </si>
  <si>
    <t>kN・m</t>
    <phoneticPr fontId="2"/>
  </si>
  <si>
    <t>使用アンカーボルト</t>
    <rPh sb="0" eb="2">
      <t>シヨウ</t>
    </rPh>
    <phoneticPr fontId="2"/>
  </si>
  <si>
    <t>本数</t>
    <rPh sb="0" eb="2">
      <t>ホンスウ</t>
    </rPh>
    <phoneticPr fontId="2"/>
  </si>
  <si>
    <t>(</t>
    <phoneticPr fontId="2"/>
  </si>
  <si>
    <t>)</t>
    <phoneticPr fontId="2"/>
  </si>
  <si>
    <t>L</t>
    <phoneticPr fontId="2"/>
  </si>
  <si>
    <t>㎜</t>
    <phoneticPr fontId="2"/>
  </si>
  <si>
    <t>n</t>
    <phoneticPr fontId="2"/>
  </si>
  <si>
    <t>1支承の最大死荷重反力</t>
    <rPh sb="1" eb="3">
      <t>シショウ</t>
    </rPh>
    <rPh sb="4" eb="6">
      <t>サイダイ</t>
    </rPh>
    <rPh sb="6" eb="9">
      <t>シカジュウ</t>
    </rPh>
    <rPh sb="9" eb="11">
      <t>ハンリョク</t>
    </rPh>
    <phoneticPr fontId="2"/>
  </si>
  <si>
    <t>1支承線上の全設計水平力</t>
    <rPh sb="3" eb="5">
      <t>センジョウ</t>
    </rPh>
    <rPh sb="6" eb="7">
      <t>ゼン</t>
    </rPh>
    <rPh sb="7" eb="9">
      <t>セッケイ</t>
    </rPh>
    <rPh sb="9" eb="11">
      <t>スイヘイ</t>
    </rPh>
    <rPh sb="11" eb="12">
      <t>リョク</t>
    </rPh>
    <phoneticPr fontId="2"/>
  </si>
  <si>
    <t>maxRｄ</t>
    <phoneticPr fontId="2"/>
  </si>
  <si>
    <t>=</t>
    <phoneticPr fontId="2"/>
  </si>
  <si>
    <t>ｋN</t>
    <phoneticPr fontId="2"/>
  </si>
  <si>
    <t>橋軸方向</t>
    <rPh sb="0" eb="1">
      <t>キョウ</t>
    </rPh>
    <rPh sb="1" eb="4">
      <t>ジクホウコウ</t>
    </rPh>
    <phoneticPr fontId="2"/>
  </si>
  <si>
    <t>橋軸直角方向</t>
    <rPh sb="0" eb="2">
      <t>キョウジク</t>
    </rPh>
    <rPh sb="2" eb="4">
      <t>チョッカク</t>
    </rPh>
    <rPh sb="4" eb="6">
      <t>ホウコウ</t>
    </rPh>
    <phoneticPr fontId="2"/>
  </si>
  <si>
    <t>H'a</t>
    <phoneticPr fontId="2"/>
  </si>
  <si>
    <t>H'ｂ</t>
    <phoneticPr fontId="2"/>
  </si>
  <si>
    <t>水平力分担構造設置箇所数</t>
    <rPh sb="0" eb="2">
      <t>スイヘイ</t>
    </rPh>
    <rPh sb="2" eb="3">
      <t>リョク</t>
    </rPh>
    <rPh sb="3" eb="5">
      <t>ブンタン</t>
    </rPh>
    <rPh sb="5" eb="7">
      <t>コウゾウ</t>
    </rPh>
    <rPh sb="7" eb="9">
      <t>セッチ</t>
    </rPh>
    <rPh sb="9" eb="11">
      <t>カショ</t>
    </rPh>
    <rPh sb="11" eb="12">
      <t>スウ</t>
    </rPh>
    <phoneticPr fontId="2"/>
  </si>
  <si>
    <t>縁端拡幅構造設置箇所数</t>
    <rPh sb="0" eb="2">
      <t>エンタン</t>
    </rPh>
    <rPh sb="2" eb="4">
      <t>カクフク</t>
    </rPh>
    <rPh sb="4" eb="6">
      <t>コウゾウ</t>
    </rPh>
    <rPh sb="6" eb="8">
      <t>セッチ</t>
    </rPh>
    <rPh sb="8" eb="10">
      <t>カショ</t>
    </rPh>
    <rPh sb="10" eb="11">
      <t>スウ</t>
    </rPh>
    <phoneticPr fontId="2"/>
  </si>
  <si>
    <t>箇所</t>
    <rPh sb="0" eb="2">
      <t>カショ</t>
    </rPh>
    <phoneticPr fontId="2"/>
  </si>
  <si>
    <t>水平力分担構造1基あたりの設計荷重</t>
    <rPh sb="0" eb="2">
      <t>スイヘイ</t>
    </rPh>
    <rPh sb="2" eb="3">
      <t>リョク</t>
    </rPh>
    <rPh sb="3" eb="5">
      <t>ブンタン</t>
    </rPh>
    <rPh sb="5" eb="7">
      <t>コウゾウ</t>
    </rPh>
    <rPh sb="8" eb="9">
      <t>キ</t>
    </rPh>
    <rPh sb="13" eb="15">
      <t>セッケイ</t>
    </rPh>
    <rPh sb="15" eb="17">
      <t>カジュウ</t>
    </rPh>
    <phoneticPr fontId="2"/>
  </si>
  <si>
    <t>設置1箇所あたりの設計水平力</t>
    <rPh sb="0" eb="2">
      <t>セッチ</t>
    </rPh>
    <rPh sb="3" eb="5">
      <t>カショ</t>
    </rPh>
    <rPh sb="9" eb="11">
      <t>セッケイ</t>
    </rPh>
    <rPh sb="11" eb="13">
      <t>スイヘイ</t>
    </rPh>
    <rPh sb="13" eb="14">
      <t>リョク</t>
    </rPh>
    <phoneticPr fontId="2"/>
  </si>
  <si>
    <t>Ha</t>
    <phoneticPr fontId="2"/>
  </si>
  <si>
    <t>Hｂ</t>
    <phoneticPr fontId="2"/>
  </si>
  <si>
    <t>→</t>
    <phoneticPr fontId="2"/>
  </si>
  <si>
    <t>Hb</t>
    <phoneticPr fontId="2"/>
  </si>
  <si>
    <t>橋軸方向全移動量</t>
    <rPh sb="0" eb="1">
      <t>キョウ</t>
    </rPh>
    <rPh sb="1" eb="4">
      <t>ジクホウコウ</t>
    </rPh>
    <rPh sb="4" eb="5">
      <t>ゼン</t>
    </rPh>
    <rPh sb="5" eb="7">
      <t>イドウ</t>
    </rPh>
    <rPh sb="7" eb="8">
      <t>リョウ</t>
    </rPh>
    <phoneticPr fontId="2"/>
  </si>
  <si>
    <t>移動余裕量</t>
    <rPh sb="0" eb="2">
      <t>イドウ</t>
    </rPh>
    <rPh sb="2" eb="4">
      <t>ヨユウ</t>
    </rPh>
    <rPh sb="4" eb="5">
      <t>リョウ</t>
    </rPh>
    <phoneticPr fontId="2"/>
  </si>
  <si>
    <t>el</t>
    <phoneticPr fontId="2"/>
  </si>
  <si>
    <t>e</t>
    <phoneticPr fontId="2"/>
  </si>
  <si>
    <t>=</t>
    <phoneticPr fontId="2"/>
  </si>
  <si>
    <t>±</t>
    <phoneticPr fontId="2"/>
  </si>
  <si>
    <t>㎜</t>
    <phoneticPr fontId="2"/>
  </si>
  <si>
    <t>使用材料一覧表</t>
    <rPh sb="0" eb="2">
      <t>シヨウ</t>
    </rPh>
    <rPh sb="2" eb="4">
      <t>ザイリョウ</t>
    </rPh>
    <rPh sb="4" eb="7">
      <t>イチランヒョウ</t>
    </rPh>
    <phoneticPr fontId="2"/>
  </si>
  <si>
    <t>上部工ブラケット</t>
    <rPh sb="0" eb="2">
      <t>ジョウブ</t>
    </rPh>
    <rPh sb="2" eb="3">
      <t>コウ</t>
    </rPh>
    <phoneticPr fontId="2"/>
  </si>
  <si>
    <t>下部工ブラケット</t>
    <rPh sb="0" eb="3">
      <t>カブコウ</t>
    </rPh>
    <phoneticPr fontId="2"/>
  </si>
  <si>
    <t>主桁補強材</t>
    <rPh sb="0" eb="2">
      <t>シュゲタ</t>
    </rPh>
    <rPh sb="2" eb="4">
      <t>ホキョウ</t>
    </rPh>
    <rPh sb="4" eb="5">
      <t>ザイ</t>
    </rPh>
    <phoneticPr fontId="2"/>
  </si>
  <si>
    <t>調整プレート</t>
    <rPh sb="0" eb="2">
      <t>チョウセイ</t>
    </rPh>
    <phoneticPr fontId="2"/>
  </si>
  <si>
    <t>連結ボルト</t>
    <rPh sb="0" eb="2">
      <t>レンケツ</t>
    </rPh>
    <phoneticPr fontId="2"/>
  </si>
  <si>
    <t>高力ボルト</t>
    <rPh sb="0" eb="2">
      <t>コウリョク</t>
    </rPh>
    <phoneticPr fontId="2"/>
  </si>
  <si>
    <t>SM490Y</t>
    <phoneticPr fontId="2"/>
  </si>
  <si>
    <t>SM400</t>
    <phoneticPr fontId="2"/>
  </si>
  <si>
    <t>SM490</t>
    <phoneticPr fontId="2"/>
  </si>
  <si>
    <t>強度区分8.8</t>
    <rPh sb="0" eb="2">
      <t>キョウド</t>
    </rPh>
    <rPh sb="2" eb="4">
      <t>クブン</t>
    </rPh>
    <phoneticPr fontId="2"/>
  </si>
  <si>
    <t>S10T</t>
    <phoneticPr fontId="2"/>
  </si>
  <si>
    <t>部位</t>
    <rPh sb="0" eb="2">
      <t>ブイ</t>
    </rPh>
    <phoneticPr fontId="2"/>
  </si>
  <si>
    <t>Ha(kN)</t>
    <phoneticPr fontId="2"/>
  </si>
  <si>
    <t>許容荷重</t>
    <rPh sb="0" eb="2">
      <t>キョヨウ</t>
    </rPh>
    <rPh sb="2" eb="4">
      <t>カジュウ</t>
    </rPh>
    <phoneticPr fontId="2"/>
  </si>
  <si>
    <t>形式</t>
    <rPh sb="0" eb="2">
      <t>ケイシキ</t>
    </rPh>
    <phoneticPr fontId="2"/>
  </si>
  <si>
    <t>設計移動量</t>
    <rPh sb="0" eb="2">
      <t>セッケイ</t>
    </rPh>
    <rPh sb="2" eb="4">
      <t>イドウ</t>
    </rPh>
    <rPh sb="4" eb="5">
      <t>リョウ</t>
    </rPh>
    <phoneticPr fontId="2"/>
  </si>
  <si>
    <t>P30橋脚(起点側)G1</t>
    <rPh sb="3" eb="5">
      <t>キョウキャク</t>
    </rPh>
    <rPh sb="6" eb="8">
      <t>キテン</t>
    </rPh>
    <rPh sb="8" eb="9">
      <t>ガワ</t>
    </rPh>
    <phoneticPr fontId="2"/>
  </si>
  <si>
    <t>＜</t>
    <phoneticPr fontId="2"/>
  </si>
  <si>
    <t>970ｋN</t>
    <phoneticPr fontId="2"/>
  </si>
  <si>
    <t>900ｋN</t>
    <phoneticPr fontId="2"/>
  </si>
  <si>
    <t>F</t>
    <phoneticPr fontId="2"/>
  </si>
  <si>
    <t>±15㎜</t>
    <phoneticPr fontId="2"/>
  </si>
  <si>
    <t>斜角による設計荷重</t>
    <rPh sb="0" eb="2">
      <t>シャカク</t>
    </rPh>
    <rPh sb="5" eb="7">
      <t>セッケイ</t>
    </rPh>
    <rPh sb="7" eb="9">
      <t>カジュウ</t>
    </rPh>
    <phoneticPr fontId="2"/>
  </si>
  <si>
    <t>θ</t>
    <phoneticPr fontId="2"/>
  </si>
  <si>
    <t>°</t>
    <phoneticPr fontId="2"/>
  </si>
  <si>
    <t>橋軸方向作用時</t>
    <rPh sb="0" eb="2">
      <t>キョウジク</t>
    </rPh>
    <rPh sb="2" eb="4">
      <t>ホウコウ</t>
    </rPh>
    <rPh sb="4" eb="6">
      <t>サヨウ</t>
    </rPh>
    <rPh sb="6" eb="7">
      <t>ジ</t>
    </rPh>
    <phoneticPr fontId="2"/>
  </si>
  <si>
    <t>H2</t>
    <phoneticPr fontId="2"/>
  </si>
  <si>
    <t>Ha</t>
    <phoneticPr fontId="2"/>
  </si>
  <si>
    <t>x</t>
    <phoneticPr fontId="2"/>
  </si>
  <si>
    <t>sinθ</t>
    <phoneticPr fontId="2"/>
  </si>
  <si>
    <t>Ha</t>
    <phoneticPr fontId="2"/>
  </si>
  <si>
    <t>cosθ</t>
    <phoneticPr fontId="2"/>
  </si>
  <si>
    <t>←cosθ</t>
  </si>
  <si>
    <t>橋軸直角方向作用時</t>
    <rPh sb="0" eb="2">
      <t>キョウジク</t>
    </rPh>
    <rPh sb="2" eb="4">
      <t>チョッカク</t>
    </rPh>
    <rPh sb="4" eb="6">
      <t>ホウコウ</t>
    </rPh>
    <rPh sb="6" eb="8">
      <t>サヨウ</t>
    </rPh>
    <rPh sb="8" eb="9">
      <t>ジ</t>
    </rPh>
    <phoneticPr fontId="2"/>
  </si>
  <si>
    <t>下部工前壁直角方向分力</t>
    <rPh sb="0" eb="3">
      <t>カブコウ</t>
    </rPh>
    <rPh sb="3" eb="4">
      <t>マエ</t>
    </rPh>
    <rPh sb="4" eb="5">
      <t>ヘキ</t>
    </rPh>
    <rPh sb="5" eb="7">
      <t>チョッカク</t>
    </rPh>
    <rPh sb="7" eb="9">
      <t>ホウコウ</t>
    </rPh>
    <rPh sb="9" eb="11">
      <t>ブンリョク</t>
    </rPh>
    <phoneticPr fontId="2"/>
  </si>
  <si>
    <t>下部工前壁方向分力</t>
    <rPh sb="0" eb="3">
      <t>カブコウ</t>
    </rPh>
    <rPh sb="3" eb="4">
      <t>マエ</t>
    </rPh>
    <rPh sb="4" eb="5">
      <t>カベ</t>
    </rPh>
    <rPh sb="5" eb="7">
      <t>ホウコウ</t>
    </rPh>
    <rPh sb="7" eb="9">
      <t>ブンリョク</t>
    </rPh>
    <phoneticPr fontId="2"/>
  </si>
  <si>
    <t>H2</t>
    <phoneticPr fontId="2"/>
  </si>
  <si>
    <t>Hｂ</t>
    <phoneticPr fontId="2"/>
  </si>
  <si>
    <t>RC断面計算表</t>
    <rPh sb="2" eb="4">
      <t>ダンメン</t>
    </rPh>
    <rPh sb="4" eb="6">
      <t>ケイサン</t>
    </rPh>
    <rPh sb="6" eb="7">
      <t>ヒョウ</t>
    </rPh>
    <phoneticPr fontId="2"/>
  </si>
  <si>
    <t>(アンカーボルトおよびコンクリート軸方向応力算出表)</t>
    <rPh sb="17" eb="18">
      <t>ジク</t>
    </rPh>
    <rPh sb="18" eb="20">
      <t>ホウコウ</t>
    </rPh>
    <rPh sb="20" eb="22">
      <t>オウリョク</t>
    </rPh>
    <rPh sb="22" eb="24">
      <t>サンシュツ</t>
    </rPh>
    <rPh sb="24" eb="25">
      <t>ヒョウ</t>
    </rPh>
    <phoneticPr fontId="2"/>
  </si>
  <si>
    <t>①橋軸前面(H1方向)</t>
    <rPh sb="1" eb="3">
      <t>キョウジク</t>
    </rPh>
    <rPh sb="3" eb="5">
      <t>ゼンメン</t>
    </rPh>
    <rPh sb="8" eb="10">
      <t>ホウコウ</t>
    </rPh>
    <phoneticPr fontId="2"/>
  </si>
  <si>
    <t>②橋軸背面(H1’方向)</t>
    <rPh sb="1" eb="3">
      <t>キョウジク</t>
    </rPh>
    <rPh sb="3" eb="5">
      <t>ハイメン</t>
    </rPh>
    <rPh sb="9" eb="11">
      <t>ホウコウ</t>
    </rPh>
    <phoneticPr fontId="2"/>
  </si>
  <si>
    <t>M1に対する
応力度</t>
    <rPh sb="3" eb="4">
      <t>タイ</t>
    </rPh>
    <rPh sb="7" eb="9">
      <t>オウリョク</t>
    </rPh>
    <rPh sb="9" eb="10">
      <t>ド</t>
    </rPh>
    <phoneticPr fontId="2"/>
  </si>
  <si>
    <t>③直角左向
(H2方向)</t>
    <rPh sb="1" eb="3">
      <t>チョッカク</t>
    </rPh>
    <rPh sb="3" eb="5">
      <t>ヒダリム</t>
    </rPh>
    <phoneticPr fontId="2"/>
  </si>
  <si>
    <t>④直角右向
(H2’方向)</t>
    <phoneticPr fontId="2"/>
  </si>
  <si>
    <t>M2に対する
応力度</t>
    <rPh sb="3" eb="4">
      <t>タイ</t>
    </rPh>
    <rPh sb="7" eb="9">
      <t>オウリョク</t>
    </rPh>
    <rPh sb="9" eb="10">
      <t>ド</t>
    </rPh>
    <phoneticPr fontId="2"/>
  </si>
  <si>
    <t>軸方向力
(圧縮：正)</t>
    <rPh sb="0" eb="3">
      <t>ジクホウコウ</t>
    </rPh>
    <rPh sb="3" eb="4">
      <t>リョク</t>
    </rPh>
    <rPh sb="6" eb="8">
      <t>アッシュク</t>
    </rPh>
    <rPh sb="9" eb="10">
      <t>セイ</t>
    </rPh>
    <phoneticPr fontId="2"/>
  </si>
  <si>
    <t>M</t>
    <phoneticPr fontId="2"/>
  </si>
  <si>
    <t>M'=M+N・u</t>
    <phoneticPr fontId="2"/>
  </si>
  <si>
    <t>部材幅</t>
    <rPh sb="0" eb="2">
      <t>ブザイ</t>
    </rPh>
    <rPh sb="2" eb="3">
      <t>ハバ</t>
    </rPh>
    <phoneticPr fontId="2"/>
  </si>
  <si>
    <t>部材高</t>
    <rPh sb="0" eb="2">
      <t>ブザイ</t>
    </rPh>
    <rPh sb="2" eb="3">
      <t>ダカ</t>
    </rPh>
    <phoneticPr fontId="2"/>
  </si>
  <si>
    <t>引張鉄筋量</t>
    <rPh sb="0" eb="2">
      <t>ヒッパリ</t>
    </rPh>
    <rPh sb="2" eb="4">
      <t>テッキン</t>
    </rPh>
    <rPh sb="4" eb="5">
      <t>リョウ</t>
    </rPh>
    <phoneticPr fontId="2"/>
  </si>
  <si>
    <t>1段目</t>
    <rPh sb="1" eb="3">
      <t>ダンメ</t>
    </rPh>
    <phoneticPr fontId="2"/>
  </si>
  <si>
    <t>2段目</t>
    <rPh sb="1" eb="3">
      <t>ダンメ</t>
    </rPh>
    <phoneticPr fontId="2"/>
  </si>
  <si>
    <t>径</t>
    <rPh sb="0" eb="1">
      <t>ケイ</t>
    </rPh>
    <phoneticPr fontId="2"/>
  </si>
  <si>
    <t>As2</t>
    <phoneticPr fontId="2"/>
  </si>
  <si>
    <t>d2</t>
    <phoneticPr fontId="2"/>
  </si>
  <si>
    <t>3段目</t>
    <rPh sb="1" eb="3">
      <t>ダンメ</t>
    </rPh>
    <phoneticPr fontId="2"/>
  </si>
  <si>
    <t>4段目</t>
    <rPh sb="1" eb="3">
      <t>ダンメ</t>
    </rPh>
    <phoneticPr fontId="2"/>
  </si>
  <si>
    <t>As1</t>
    <phoneticPr fontId="2"/>
  </si>
  <si>
    <t>d1</t>
    <phoneticPr fontId="2"/>
  </si>
  <si>
    <t>As3</t>
    <phoneticPr fontId="2"/>
  </si>
  <si>
    <t>d3</t>
    <phoneticPr fontId="2"/>
  </si>
  <si>
    <t>d4</t>
    <phoneticPr fontId="2"/>
  </si>
  <si>
    <t>As4</t>
    <phoneticPr fontId="2"/>
  </si>
  <si>
    <t>ヤング率</t>
    <rPh sb="3" eb="4">
      <t>リツ</t>
    </rPh>
    <phoneticPr fontId="2"/>
  </si>
  <si>
    <t>pt=As/bd</t>
    <phoneticPr fontId="2"/>
  </si>
  <si>
    <t>e=M/N+u</t>
    <phoneticPr fontId="2"/>
  </si>
  <si>
    <t>u=h/2-(h-d)</t>
    <phoneticPr fontId="2"/>
  </si>
  <si>
    <t>断面諸元</t>
    <rPh sb="0" eb="2">
      <t>ダンメン</t>
    </rPh>
    <rPh sb="2" eb="3">
      <t>ショ</t>
    </rPh>
    <rPh sb="3" eb="4">
      <t>モト</t>
    </rPh>
    <phoneticPr fontId="2"/>
  </si>
  <si>
    <t>中立軸位置</t>
    <rPh sb="0" eb="2">
      <t>チュウリツ</t>
    </rPh>
    <rPh sb="2" eb="3">
      <t>ジク</t>
    </rPh>
    <rPh sb="3" eb="5">
      <t>イチ</t>
    </rPh>
    <phoneticPr fontId="2"/>
  </si>
  <si>
    <t>δc</t>
    <phoneticPr fontId="2"/>
  </si>
  <si>
    <t>δca</t>
    <phoneticPr fontId="2"/>
  </si>
  <si>
    <t>１段目　δs</t>
    <rPh sb="0" eb="3">
      <t>イチダンメ</t>
    </rPh>
    <phoneticPr fontId="2"/>
  </si>
  <si>
    <t>2段目　δs</t>
    <rPh sb="1" eb="3">
      <t>ダンメ</t>
    </rPh>
    <phoneticPr fontId="2"/>
  </si>
  <si>
    <t>3段目　δs</t>
    <rPh sb="1" eb="3">
      <t>ダンメ</t>
    </rPh>
    <phoneticPr fontId="2"/>
  </si>
  <si>
    <t>4段目　δs</t>
    <rPh sb="1" eb="3">
      <t>ダンメ</t>
    </rPh>
    <phoneticPr fontId="2"/>
  </si>
  <si>
    <t>平均　 δs</t>
    <rPh sb="0" eb="2">
      <t>ヘイキン</t>
    </rPh>
    <phoneticPr fontId="2"/>
  </si>
  <si>
    <t>-</t>
    <phoneticPr fontId="2"/>
  </si>
  <si>
    <t>軸方向
応力度</t>
    <rPh sb="0" eb="3">
      <t>ジクホウコウ</t>
    </rPh>
    <rPh sb="4" eb="6">
      <t>オウリョク</t>
    </rPh>
    <rPh sb="6" eb="7">
      <t>ド</t>
    </rPh>
    <phoneticPr fontId="2"/>
  </si>
  <si>
    <t>M48</t>
    <phoneticPr fontId="2"/>
  </si>
  <si>
    <t>アンカーボルトの有効断面積</t>
    <rPh sb="8" eb="10">
      <t>ユウコウ</t>
    </rPh>
    <rPh sb="10" eb="13">
      <t>ダンメンセキ</t>
    </rPh>
    <phoneticPr fontId="2"/>
  </si>
  <si>
    <t>ｄ2</t>
    <phoneticPr fontId="2"/>
  </si>
  <si>
    <t>=</t>
    <phoneticPr fontId="2"/>
  </si>
  <si>
    <t>d3</t>
    <phoneticPr fontId="2"/>
  </si>
  <si>
    <t>=</t>
    <phoneticPr fontId="2"/>
  </si>
  <si>
    <t>㎜</t>
    <phoneticPr fontId="2"/>
  </si>
  <si>
    <t>As</t>
    <phoneticPr fontId="2"/>
  </si>
  <si>
    <t>π</t>
    <phoneticPr fontId="2"/>
  </si>
  <si>
    <t>ｘ</t>
    <phoneticPr fontId="2"/>
  </si>
  <si>
    <t>（</t>
    <phoneticPr fontId="2"/>
  </si>
  <si>
    <t>ｄ2</t>
    <phoneticPr fontId="2"/>
  </si>
  <si>
    <t>ｄ3</t>
    <phoneticPr fontId="2"/>
  </si>
  <si>
    <t>+</t>
    <phoneticPr fontId="2"/>
  </si>
  <si>
    <t>）²</t>
    <phoneticPr fontId="2"/>
  </si>
  <si>
    <t>アンカーボルト配置</t>
    <rPh sb="7" eb="9">
      <t>ハイチ</t>
    </rPh>
    <phoneticPr fontId="2"/>
  </si>
  <si>
    <t>番号</t>
    <rPh sb="0" eb="2">
      <t>バンゴウ</t>
    </rPh>
    <phoneticPr fontId="2"/>
  </si>
  <si>
    <t>x</t>
    <phoneticPr fontId="2"/>
  </si>
  <si>
    <t>x (㎜)</t>
    <phoneticPr fontId="2"/>
  </si>
  <si>
    <t>yu (㎜)</t>
    <phoneticPr fontId="2"/>
  </si>
  <si>
    <t>xl (㎜)</t>
    <phoneticPr fontId="2"/>
  </si>
  <si>
    <t>xr (㎜)</t>
    <phoneticPr fontId="2"/>
  </si>
  <si>
    <t>4-2</t>
    <phoneticPr fontId="2"/>
  </si>
  <si>
    <t>本</t>
    <rPh sb="0" eb="1">
      <t>ホン</t>
    </rPh>
    <phoneticPr fontId="2"/>
  </si>
  <si>
    <t>(1).橋軸方向に対する検討：H1方向</t>
    <rPh sb="4" eb="6">
      <t>キョウジク</t>
    </rPh>
    <rPh sb="6" eb="8">
      <t>ホウコウ</t>
    </rPh>
    <rPh sb="9" eb="10">
      <t>タイ</t>
    </rPh>
    <rPh sb="12" eb="14">
      <t>ケントウ</t>
    </rPh>
    <rPh sb="17" eb="19">
      <t>ホウコウ</t>
    </rPh>
    <phoneticPr fontId="2"/>
  </si>
  <si>
    <t>作用高</t>
    <rPh sb="0" eb="2">
      <t>サヨウ</t>
    </rPh>
    <rPh sb="2" eb="3">
      <t>ダカ</t>
    </rPh>
    <phoneticPr fontId="2"/>
  </si>
  <si>
    <t>ｈ5</t>
    <phoneticPr fontId="2"/>
  </si>
  <si>
    <t>(下部工側連結プレート中心から設計断面中心までの距離)</t>
    <rPh sb="1" eb="4">
      <t>カブコウ</t>
    </rPh>
    <rPh sb="4" eb="5">
      <t>ガワ</t>
    </rPh>
    <rPh sb="5" eb="7">
      <t>レンケツ</t>
    </rPh>
    <rPh sb="11" eb="13">
      <t>チュウシン</t>
    </rPh>
    <rPh sb="15" eb="17">
      <t>セッケイ</t>
    </rPh>
    <rPh sb="17" eb="19">
      <t>ダンメン</t>
    </rPh>
    <rPh sb="19" eb="21">
      <t>チュウシン</t>
    </rPh>
    <rPh sb="24" eb="26">
      <t>キョリ</t>
    </rPh>
    <phoneticPr fontId="2"/>
  </si>
  <si>
    <t>M1</t>
    <phoneticPr fontId="2"/>
  </si>
  <si>
    <t>maxH1</t>
    <phoneticPr fontId="2"/>
  </si>
  <si>
    <t>maxH1</t>
    <phoneticPr fontId="2"/>
  </si>
  <si>
    <t>h5</t>
    <phoneticPr fontId="2"/>
  </si>
  <si>
    <t>N・㎜</t>
    <phoneticPr fontId="2"/>
  </si>
  <si>
    <t>N</t>
    <phoneticPr fontId="2"/>
  </si>
  <si>
    <t>単鉄筋RC断面として照査する。</t>
    <rPh sb="0" eb="1">
      <t>タン</t>
    </rPh>
    <rPh sb="1" eb="3">
      <t>テッキン</t>
    </rPh>
    <rPh sb="5" eb="7">
      <t>ダンメン</t>
    </rPh>
    <rPh sb="10" eb="12">
      <t>ショウサ</t>
    </rPh>
    <phoneticPr fontId="2"/>
  </si>
  <si>
    <t>中立軸位置</t>
    <rPh sb="0" eb="2">
      <t>チュウリツ</t>
    </rPh>
    <rPh sb="2" eb="3">
      <t>ジク</t>
    </rPh>
    <rPh sb="3" eb="5">
      <t>イチ</t>
    </rPh>
    <phoneticPr fontId="2"/>
  </si>
  <si>
    <t>ｘ</t>
    <phoneticPr fontId="2"/>
  </si>
  <si>
    <t>設計基準強度</t>
  </si>
  <si>
    <t>δck</t>
    <phoneticPr fontId="2"/>
  </si>
  <si>
    <t>N/㎜²</t>
    <phoneticPr fontId="2"/>
  </si>
  <si>
    <t>δc1</t>
    <phoneticPr fontId="2"/>
  </si>
  <si>
    <t>δc2</t>
    <phoneticPr fontId="2"/>
  </si>
  <si>
    <t>+</t>
    <phoneticPr fontId="2"/>
  </si>
  <si>
    <t>&lt;</t>
    <phoneticPr fontId="2"/>
  </si>
  <si>
    <t>δca</t>
    <phoneticPr fontId="2"/>
  </si>
  <si>
    <t>アンカーボルト引張応力度</t>
    <rPh sb="7" eb="9">
      <t>ヒッパリ</t>
    </rPh>
    <rPh sb="9" eb="11">
      <t>オウリョク</t>
    </rPh>
    <rPh sb="11" eb="12">
      <t>ド</t>
    </rPh>
    <phoneticPr fontId="2"/>
  </si>
  <si>
    <t>δs1</t>
    <phoneticPr fontId="2"/>
  </si>
  <si>
    <t>δs2</t>
    <phoneticPr fontId="2"/>
  </si>
  <si>
    <t>δsa</t>
    <phoneticPr fontId="2"/>
  </si>
  <si>
    <t>(水平力載荷点から部材断面中立軸までの距離)</t>
    <rPh sb="1" eb="3">
      <t>スイヘイ</t>
    </rPh>
    <rPh sb="3" eb="4">
      <t>リョク</t>
    </rPh>
    <rPh sb="4" eb="5">
      <t>ノ</t>
    </rPh>
    <rPh sb="6" eb="7">
      <t>テン</t>
    </rPh>
    <rPh sb="9" eb="11">
      <t>ブザイ</t>
    </rPh>
    <rPh sb="11" eb="13">
      <t>ダンメン</t>
    </rPh>
    <rPh sb="13" eb="15">
      <t>チュウリツ</t>
    </rPh>
    <rPh sb="15" eb="16">
      <t>ジク</t>
    </rPh>
    <rPh sb="19" eb="21">
      <t>キョリ</t>
    </rPh>
    <phoneticPr fontId="2"/>
  </si>
  <si>
    <t>-maxH1</t>
    <phoneticPr fontId="2"/>
  </si>
  <si>
    <t>S</t>
    <phoneticPr fontId="2"/>
  </si>
  <si>
    <t>maxH2</t>
    <phoneticPr fontId="2"/>
  </si>
  <si>
    <t>τH</t>
    <phoneticPr fontId="2"/>
  </si>
  <si>
    <t>S</t>
    <phoneticPr fontId="2"/>
  </si>
  <si>
    <t>・</t>
    <phoneticPr fontId="2"/>
  </si>
  <si>
    <t>As</t>
  </si>
  <si>
    <t>n</t>
    <phoneticPr fontId="2"/>
  </si>
  <si>
    <t>&lt;</t>
    <phoneticPr fontId="2"/>
  </si>
  <si>
    <t>τa</t>
    <phoneticPr fontId="2"/>
  </si>
  <si>
    <t>回転中心位置の算出</t>
    <rPh sb="0" eb="2">
      <t>カイテン</t>
    </rPh>
    <rPh sb="2" eb="4">
      <t>チュウシン</t>
    </rPh>
    <rPh sb="4" eb="6">
      <t>イチ</t>
    </rPh>
    <rPh sb="7" eb="9">
      <t>サンシュツ</t>
    </rPh>
    <phoneticPr fontId="2"/>
  </si>
  <si>
    <t>Σｘ</t>
    <phoneticPr fontId="2"/>
  </si>
  <si>
    <t>㎜</t>
    <phoneticPr fontId="2"/>
  </si>
  <si>
    <t>Σｙ</t>
    <phoneticPr fontId="2"/>
  </si>
  <si>
    <t>座標原点からの距離</t>
    <rPh sb="0" eb="2">
      <t>ザヒョウ</t>
    </rPh>
    <rPh sb="2" eb="4">
      <t>ゲンテン</t>
    </rPh>
    <rPh sb="7" eb="9">
      <t>キョリ</t>
    </rPh>
    <phoneticPr fontId="2"/>
  </si>
  <si>
    <t>(ｘ方向)</t>
    <rPh sb="2" eb="4">
      <t>ホウコウ</t>
    </rPh>
    <phoneticPr fontId="2"/>
  </si>
  <si>
    <t>(ｙ方向)</t>
    <rPh sb="2" eb="4">
      <t>ホウコウ</t>
    </rPh>
    <phoneticPr fontId="2"/>
  </si>
  <si>
    <t>ｘL</t>
    <phoneticPr fontId="2"/>
  </si>
  <si>
    <t>ｙL</t>
    <phoneticPr fontId="2"/>
  </si>
  <si>
    <t>回転モーメントの算出</t>
    <rPh sb="0" eb="2">
      <t>カイテン</t>
    </rPh>
    <rPh sb="8" eb="10">
      <t>サンシュツ</t>
    </rPh>
    <phoneticPr fontId="2"/>
  </si>
  <si>
    <t>作業高</t>
    <rPh sb="0" eb="2">
      <t>サギョウ</t>
    </rPh>
    <rPh sb="2" eb="3">
      <t>タカ</t>
    </rPh>
    <phoneticPr fontId="2"/>
  </si>
  <si>
    <t>ｈ6</t>
    <phoneticPr fontId="2"/>
  </si>
  <si>
    <t>＝</t>
    <phoneticPr fontId="2"/>
  </si>
  <si>
    <t>㎜</t>
    <phoneticPr fontId="2"/>
  </si>
  <si>
    <t>(水平力載荷点からボルト群回転中心までの高さ)</t>
    <rPh sb="1" eb="4">
      <t>スイヘイリョク</t>
    </rPh>
    <rPh sb="4" eb="5">
      <t>ノ</t>
    </rPh>
    <rPh sb="6" eb="7">
      <t>テン</t>
    </rPh>
    <rPh sb="12" eb="13">
      <t>グン</t>
    </rPh>
    <rPh sb="13" eb="15">
      <t>カイテン</t>
    </rPh>
    <rPh sb="15" eb="17">
      <t>チュウシン</t>
    </rPh>
    <rPh sb="20" eb="21">
      <t>タカ</t>
    </rPh>
    <phoneticPr fontId="2"/>
  </si>
  <si>
    <t>Mo</t>
    <phoneticPr fontId="2"/>
  </si>
  <si>
    <t>maxH2</t>
    <phoneticPr fontId="2"/>
  </si>
  <si>
    <t>h6</t>
    <phoneticPr fontId="2"/>
  </si>
  <si>
    <t>Sｘ (N)</t>
    <phoneticPr fontId="2"/>
  </si>
  <si>
    <t>判定</t>
    <rPh sb="0" eb="2">
      <t>ハンテイ</t>
    </rPh>
    <phoneticPr fontId="2"/>
  </si>
  <si>
    <t>合計値</t>
    <rPh sb="0" eb="2">
      <t>ゴウケイ</t>
    </rPh>
    <rPh sb="2" eb="3">
      <t>チ</t>
    </rPh>
    <phoneticPr fontId="2"/>
  </si>
  <si>
    <t>最大値</t>
    <rPh sb="0" eb="3">
      <t>サイダイチ</t>
    </rPh>
    <phoneticPr fontId="2"/>
  </si>
  <si>
    <t>=</t>
    <phoneticPr fontId="2"/>
  </si>
  <si>
    <t>Lx</t>
    <phoneticPr fontId="2"/>
  </si>
  <si>
    <t>=</t>
    <phoneticPr fontId="2"/>
  </si>
  <si>
    <t>x</t>
    <phoneticPr fontId="2"/>
  </si>
  <si>
    <t>xL</t>
  </si>
  <si>
    <t>-</t>
    <phoneticPr fontId="2"/>
  </si>
  <si>
    <t>Ly</t>
    <phoneticPr fontId="2"/>
  </si>
  <si>
    <t>y</t>
    <phoneticPr fontId="2"/>
  </si>
  <si>
    <t>yL</t>
    <phoneticPr fontId="2"/>
  </si>
  <si>
    <t>Q</t>
    <phoneticPr fontId="2"/>
  </si>
  <si>
    <t>Mo</t>
    <phoneticPr fontId="2"/>
  </si>
  <si>
    <t>Ｌ</t>
    <phoneticPr fontId="2"/>
  </si>
  <si>
    <t>ΣＬ²</t>
    <phoneticPr fontId="2"/>
  </si>
  <si>
    <t>Ｌ : ボルト群回転中心から照査ボルトまでの距離</t>
    <rPh sb="7" eb="8">
      <t>グン</t>
    </rPh>
    <rPh sb="8" eb="10">
      <t>カイテン</t>
    </rPh>
    <rPh sb="10" eb="12">
      <t>チュウシン</t>
    </rPh>
    <rPh sb="14" eb="16">
      <t>ショウサ</t>
    </rPh>
    <rPh sb="22" eb="24">
      <t>キョリ</t>
    </rPh>
    <phoneticPr fontId="2"/>
  </si>
  <si>
    <t>回転せん断応力度</t>
    <rPh sb="0" eb="2">
      <t>カイテン</t>
    </rPh>
    <rPh sb="4" eb="5">
      <t>ダン</t>
    </rPh>
    <rPh sb="5" eb="7">
      <t>オウリョク</t>
    </rPh>
    <rPh sb="7" eb="8">
      <t>ド</t>
    </rPh>
    <phoneticPr fontId="2"/>
  </si>
  <si>
    <t>τm</t>
    <phoneticPr fontId="2"/>
  </si>
  <si>
    <t>As</t>
    <phoneticPr fontId="2"/>
  </si>
  <si>
    <t>τy</t>
    <phoneticPr fontId="2"/>
  </si>
  <si>
    <t>N/㎜²</t>
    <phoneticPr fontId="2"/>
  </si>
  <si>
    <t>合成せん断応力度</t>
    <rPh sb="0" eb="2">
      <t>ゴウセイ</t>
    </rPh>
    <rPh sb="4" eb="5">
      <t>ダン</t>
    </rPh>
    <rPh sb="5" eb="7">
      <t>オウリョク</t>
    </rPh>
    <rPh sb="7" eb="8">
      <t>ド</t>
    </rPh>
    <phoneticPr fontId="2"/>
  </si>
  <si>
    <t>Στ</t>
    <phoneticPr fontId="2"/>
  </si>
  <si>
    <t>+</t>
    <phoneticPr fontId="2"/>
  </si>
  <si>
    <t>(</t>
    <phoneticPr fontId="2"/>
  </si>
  <si>
    <t>(τｘ</t>
    <phoneticPr fontId="2"/>
  </si>
  <si>
    <t>τH</t>
    <phoneticPr fontId="2"/>
  </si>
  <si>
    <t>)²</t>
    <phoneticPr fontId="2"/>
  </si>
  <si>
    <t>)²}</t>
    <phoneticPr fontId="2"/>
  </si>
  <si>
    <t>√{</t>
    <phoneticPr fontId="2"/>
  </si>
  <si>
    <t>＜</t>
    <phoneticPr fontId="2"/>
  </si>
  <si>
    <t>=</t>
    <phoneticPr fontId="2"/>
  </si>
  <si>
    <t>N/㎜²</t>
    <phoneticPr fontId="2"/>
  </si>
  <si>
    <t>(a). 曲げモーメント</t>
    <rPh sb="5" eb="6">
      <t>マ</t>
    </rPh>
    <phoneticPr fontId="2"/>
  </si>
  <si>
    <t>作用距離</t>
    <rPh sb="0" eb="2">
      <t>サヨウ</t>
    </rPh>
    <rPh sb="2" eb="4">
      <t>キョリ</t>
    </rPh>
    <phoneticPr fontId="2"/>
  </si>
  <si>
    <t>L1</t>
    <phoneticPr fontId="2"/>
  </si>
  <si>
    <t>㎜</t>
    <phoneticPr fontId="2"/>
  </si>
  <si>
    <t>(水平力載荷点中心から鋼製ブラケットBasePL底面までの距離)</t>
    <rPh sb="1" eb="3">
      <t>スイヘイ</t>
    </rPh>
    <rPh sb="3" eb="4">
      <t>リョク</t>
    </rPh>
    <rPh sb="4" eb="5">
      <t>ノ</t>
    </rPh>
    <rPh sb="6" eb="7">
      <t>テン</t>
    </rPh>
    <rPh sb="7" eb="9">
      <t>チュウシン</t>
    </rPh>
    <rPh sb="11" eb="13">
      <t>コウセイ</t>
    </rPh>
    <rPh sb="24" eb="26">
      <t>テイメン</t>
    </rPh>
    <rPh sb="29" eb="31">
      <t>キョリ</t>
    </rPh>
    <phoneticPr fontId="2"/>
  </si>
  <si>
    <t>M</t>
    <phoneticPr fontId="2"/>
  </si>
  <si>
    <t>maxH2</t>
    <phoneticPr fontId="2"/>
  </si>
  <si>
    <t>ｘ</t>
    <phoneticPr fontId="2"/>
  </si>
  <si>
    <t>L1</t>
    <phoneticPr fontId="2"/>
  </si>
  <si>
    <t>N・㎜</t>
    <phoneticPr fontId="2"/>
  </si>
  <si>
    <t>(ｂ). 引張応力度の照査</t>
    <rPh sb="5" eb="7">
      <t>ヒッパリ</t>
    </rPh>
    <rPh sb="7" eb="9">
      <t>オウリョク</t>
    </rPh>
    <rPh sb="9" eb="10">
      <t>ド</t>
    </rPh>
    <rPh sb="11" eb="13">
      <t>ショウサ</t>
    </rPh>
    <phoneticPr fontId="2"/>
  </si>
  <si>
    <t>単鉄筋RC断面として照査する。</t>
    <rPh sb="0" eb="1">
      <t>タン</t>
    </rPh>
    <rPh sb="1" eb="3">
      <t>テッキン</t>
    </rPh>
    <rPh sb="5" eb="7">
      <t>ダンメン</t>
    </rPh>
    <rPh sb="10" eb="12">
      <t>ショウサ</t>
    </rPh>
    <phoneticPr fontId="2"/>
  </si>
  <si>
    <t>δc</t>
    <phoneticPr fontId="2"/>
  </si>
  <si>
    <t>δs</t>
    <phoneticPr fontId="2"/>
  </si>
  <si>
    <t>(ｃ). 合成応力度の照査</t>
    <rPh sb="5" eb="7">
      <t>ゴウセイ</t>
    </rPh>
    <rPh sb="7" eb="9">
      <t>オウリョク</t>
    </rPh>
    <rPh sb="9" eb="10">
      <t>ド</t>
    </rPh>
    <rPh sb="11" eb="13">
      <t>ショウサ</t>
    </rPh>
    <phoneticPr fontId="2"/>
  </si>
  <si>
    <t>K</t>
    <phoneticPr fontId="2"/>
  </si>
  <si>
    <t>（</t>
    <phoneticPr fontId="2"/>
  </si>
  <si>
    <t>δ</t>
    <phoneticPr fontId="2"/>
  </si>
  <si>
    <t>δsa</t>
    <phoneticPr fontId="2"/>
  </si>
  <si>
    <t>)²</t>
    <phoneticPr fontId="2"/>
  </si>
  <si>
    <t>maxΣτ</t>
    <phoneticPr fontId="2"/>
  </si>
  <si>
    <t>(</t>
    <phoneticPr fontId="2"/>
  </si>
  <si>
    <t>&lt;</t>
    <phoneticPr fontId="2"/>
  </si>
  <si>
    <t>(4). アンカーボルトのコンクリートに対する付着の照査</t>
    <rPh sb="20" eb="21">
      <t>タイ</t>
    </rPh>
    <rPh sb="23" eb="25">
      <t>フチャク</t>
    </rPh>
    <rPh sb="26" eb="28">
      <t>ショウサ</t>
    </rPh>
    <phoneticPr fontId="2"/>
  </si>
  <si>
    <t>コンクリートに対する付着は、付着強度が低いコンクリートの許容付着応力度により算出する。</t>
    <rPh sb="7" eb="8">
      <t>タイ</t>
    </rPh>
    <rPh sb="10" eb="12">
      <t>フチャク</t>
    </rPh>
    <rPh sb="14" eb="16">
      <t>フチャク</t>
    </rPh>
    <rPh sb="16" eb="18">
      <t>キョウド</t>
    </rPh>
    <rPh sb="19" eb="20">
      <t>ヒク</t>
    </rPh>
    <rPh sb="28" eb="30">
      <t>キョヨウ</t>
    </rPh>
    <rPh sb="30" eb="32">
      <t>フチャク</t>
    </rPh>
    <rPh sb="32" eb="34">
      <t>オウリョク</t>
    </rPh>
    <rPh sb="34" eb="35">
      <t>ド</t>
    </rPh>
    <rPh sb="38" eb="40">
      <t>サンシュツ</t>
    </rPh>
    <phoneticPr fontId="2"/>
  </si>
  <si>
    <t>この場合、付着面積は、アンカーボルト削孔径を使用する。</t>
    <rPh sb="2" eb="4">
      <t>バアイ</t>
    </rPh>
    <rPh sb="5" eb="7">
      <t>フチャク</t>
    </rPh>
    <rPh sb="7" eb="9">
      <t>メンセキ</t>
    </rPh>
    <rPh sb="18" eb="19">
      <t>ケズ</t>
    </rPh>
    <rPh sb="19" eb="20">
      <t>アナ</t>
    </rPh>
    <rPh sb="20" eb="21">
      <t>ケイ</t>
    </rPh>
    <rPh sb="22" eb="24">
      <t>シヨウ</t>
    </rPh>
    <phoneticPr fontId="2"/>
  </si>
  <si>
    <t>下部工コンクリートの設計基準強度</t>
    <rPh sb="0" eb="3">
      <t>カブコウ</t>
    </rPh>
    <rPh sb="10" eb="12">
      <t>セッケイ</t>
    </rPh>
    <rPh sb="12" eb="14">
      <t>キジュン</t>
    </rPh>
    <rPh sb="14" eb="16">
      <t>キョウド</t>
    </rPh>
    <phoneticPr fontId="2"/>
  </si>
  <si>
    <t>δck</t>
    <phoneticPr fontId="2"/>
  </si>
  <si>
    <t>樹脂とコンクリートの許容付着応力度</t>
    <rPh sb="0" eb="2">
      <t>ジュシ</t>
    </rPh>
    <rPh sb="10" eb="12">
      <t>キョヨウ</t>
    </rPh>
    <rPh sb="12" eb="14">
      <t>フチャク</t>
    </rPh>
    <rPh sb="14" eb="16">
      <t>オウリョク</t>
    </rPh>
    <rPh sb="16" eb="17">
      <t>ド</t>
    </rPh>
    <phoneticPr fontId="2"/>
  </si>
  <si>
    <t>τoa</t>
    <phoneticPr fontId="2"/>
  </si>
  <si>
    <t>=</t>
    <phoneticPr fontId="2"/>
  </si>
  <si>
    <t>樹脂と鉄筋の許容付着応力度</t>
    <rPh sb="3" eb="5">
      <t>テッキン</t>
    </rPh>
    <phoneticPr fontId="2"/>
  </si>
  <si>
    <t>コンクリートの押し抜きせん断応力度</t>
    <rPh sb="7" eb="8">
      <t>オ</t>
    </rPh>
    <rPh sb="9" eb="10">
      <t>ヌ</t>
    </rPh>
    <rPh sb="13" eb="14">
      <t>ダン</t>
    </rPh>
    <rPh sb="14" eb="16">
      <t>オウリョク</t>
    </rPh>
    <rPh sb="16" eb="17">
      <t>ド</t>
    </rPh>
    <phoneticPr fontId="2"/>
  </si>
  <si>
    <t>τｐa</t>
    <phoneticPr fontId="2"/>
  </si>
  <si>
    <t>アンカーボルト径</t>
    <rPh sb="7" eb="8">
      <t>ケイ</t>
    </rPh>
    <phoneticPr fontId="2"/>
  </si>
  <si>
    <t>D</t>
    <phoneticPr fontId="2"/>
  </si>
  <si>
    <t>アンカーボルト削り孔径</t>
    <rPh sb="7" eb="8">
      <t>ケズ</t>
    </rPh>
    <rPh sb="9" eb="10">
      <t>アナ</t>
    </rPh>
    <rPh sb="10" eb="11">
      <t>ケイ</t>
    </rPh>
    <phoneticPr fontId="2"/>
  </si>
  <si>
    <t>∅</t>
  </si>
  <si>
    <t>∅</t>
    <phoneticPr fontId="2"/>
  </si>
  <si>
    <t>+</t>
    <phoneticPr fontId="2"/>
  </si>
  <si>
    <t>+</t>
    <phoneticPr fontId="2"/>
  </si>
  <si>
    <t>引き抜き力</t>
    <rPh sb="0" eb="1">
      <t>ヒ</t>
    </rPh>
    <rPh sb="2" eb="3">
      <t>ヌ</t>
    </rPh>
    <rPh sb="4" eb="5">
      <t>リョク</t>
    </rPh>
    <phoneticPr fontId="2"/>
  </si>
  <si>
    <t>maxNP</t>
    <phoneticPr fontId="2"/>
  </si>
  <si>
    <t>δs</t>
    <phoneticPr fontId="2"/>
  </si>
  <si>
    <t>As</t>
    <phoneticPr fontId="2"/>
  </si>
  <si>
    <t>N</t>
    <phoneticPr fontId="2"/>
  </si>
  <si>
    <t>アンカーボルト最小定着長</t>
    <rPh sb="7" eb="9">
      <t>サイショウ</t>
    </rPh>
    <rPh sb="9" eb="11">
      <t>テイチャク</t>
    </rPh>
    <rPh sb="11" eb="12">
      <t>チョウ</t>
    </rPh>
    <phoneticPr fontId="2"/>
  </si>
  <si>
    <t>Lmin</t>
    <phoneticPr fontId="2"/>
  </si>
  <si>
    <t>樹脂とコンクリートの付着によるアンカーの必要定着長</t>
    <rPh sb="0" eb="2">
      <t>ジュシ</t>
    </rPh>
    <rPh sb="10" eb="12">
      <t>フチャク</t>
    </rPh>
    <rPh sb="20" eb="22">
      <t>ヒツヨウ</t>
    </rPh>
    <rPh sb="22" eb="24">
      <t>テイチャク</t>
    </rPh>
    <rPh sb="24" eb="25">
      <t>チョウ</t>
    </rPh>
    <phoneticPr fontId="2"/>
  </si>
  <si>
    <t>π</t>
    <phoneticPr fontId="2"/>
  </si>
  <si>
    <t>Lmin</t>
    <phoneticPr fontId="2"/>
  </si>
  <si>
    <t>樹脂と鉄筋の付着によるアンカーの必要定着長</t>
    <rPh sb="0" eb="2">
      <t>ジュシ</t>
    </rPh>
    <rPh sb="3" eb="5">
      <t>テッキン</t>
    </rPh>
    <rPh sb="6" eb="8">
      <t>フチャク</t>
    </rPh>
    <rPh sb="16" eb="18">
      <t>ヒツヨウ</t>
    </rPh>
    <rPh sb="18" eb="20">
      <t>テイチャク</t>
    </rPh>
    <rPh sb="20" eb="21">
      <t>チョウ</t>
    </rPh>
    <phoneticPr fontId="2"/>
  </si>
  <si>
    <t>ここで、縁端拡幅の検討による必要最小定着長は、</t>
    <rPh sb="4" eb="6">
      <t>エンタン</t>
    </rPh>
    <rPh sb="6" eb="8">
      <t>カクフク</t>
    </rPh>
    <rPh sb="9" eb="11">
      <t>ケントウ</t>
    </rPh>
    <rPh sb="14" eb="16">
      <t>ヒツヨウ</t>
    </rPh>
    <rPh sb="16" eb="18">
      <t>サイショウ</t>
    </rPh>
    <rPh sb="18" eb="20">
      <t>テイチャク</t>
    </rPh>
    <rPh sb="20" eb="21">
      <t>チョウ</t>
    </rPh>
    <phoneticPr fontId="2"/>
  </si>
  <si>
    <t>よって、アンカーボルトの必要最小定着長は、</t>
    <rPh sb="12" eb="14">
      <t>ヒツヨウ</t>
    </rPh>
    <rPh sb="14" eb="16">
      <t>サイショウ</t>
    </rPh>
    <rPh sb="16" eb="18">
      <t>テイチャク</t>
    </rPh>
    <rPh sb="18" eb="19">
      <t>チョウ</t>
    </rPh>
    <phoneticPr fontId="2"/>
  </si>
  <si>
    <t>以上とする。</t>
    <rPh sb="0" eb="2">
      <t>イジョウ</t>
    </rPh>
    <phoneticPr fontId="2"/>
  </si>
  <si>
    <t>(4)-1. コンクリートの引抜きせん断力の照査</t>
    <rPh sb="14" eb="16">
      <t>ヒキヌキ</t>
    </rPh>
    <rPh sb="19" eb="21">
      <t>ダンリョク</t>
    </rPh>
    <rPh sb="22" eb="24">
      <t>ショウサ</t>
    </rPh>
    <phoneticPr fontId="2"/>
  </si>
  <si>
    <t>ボルト1本あたりの照査</t>
    <rPh sb="4" eb="5">
      <t>ホン</t>
    </rPh>
    <rPh sb="9" eb="11">
      <t>ショウサ</t>
    </rPh>
    <phoneticPr fontId="2"/>
  </si>
  <si>
    <t>有効埋め込み長</t>
    <rPh sb="0" eb="2">
      <t>ユウコウ</t>
    </rPh>
    <rPh sb="2" eb="3">
      <t>ウ</t>
    </rPh>
    <rPh sb="4" eb="5">
      <t>コ</t>
    </rPh>
    <rPh sb="6" eb="7">
      <t>チョウ</t>
    </rPh>
    <phoneticPr fontId="2"/>
  </si>
  <si>
    <t>最小ボルト間隔</t>
    <rPh sb="0" eb="2">
      <t>サイショウ</t>
    </rPh>
    <rPh sb="5" eb="7">
      <t>カンカク</t>
    </rPh>
    <phoneticPr fontId="2"/>
  </si>
  <si>
    <t>円柱部長さ</t>
    <rPh sb="0" eb="2">
      <t>エンチュウ</t>
    </rPh>
    <rPh sb="2" eb="3">
      <t>ブ</t>
    </rPh>
    <rPh sb="3" eb="4">
      <t>ナガ</t>
    </rPh>
    <phoneticPr fontId="2"/>
  </si>
  <si>
    <t>Le</t>
    <phoneticPr fontId="2"/>
  </si>
  <si>
    <t>㎜</t>
    <phoneticPr fontId="2"/>
  </si>
  <si>
    <t>Lamin</t>
    <phoneticPr fontId="2"/>
  </si>
  <si>
    <t>㎜</t>
    <phoneticPr fontId="2"/>
  </si>
  <si>
    <t>Lｂ</t>
    <phoneticPr fontId="2"/>
  </si>
  <si>
    <t>-</t>
    <phoneticPr fontId="2"/>
  </si>
  <si>
    <t>Lamin</t>
    <phoneticPr fontId="2"/>
  </si>
  <si>
    <t>/</t>
    <phoneticPr fontId="2"/>
  </si>
  <si>
    <t>-</t>
    <phoneticPr fontId="2"/>
  </si>
  <si>
    <t>ヘり空き控除部面積</t>
    <rPh sb="2" eb="3">
      <t>ア</t>
    </rPh>
    <rPh sb="4" eb="6">
      <t>コウジョ</t>
    </rPh>
    <rPh sb="6" eb="7">
      <t>ブ</t>
    </rPh>
    <rPh sb="7" eb="9">
      <t>メンセキ</t>
    </rPh>
    <phoneticPr fontId="2"/>
  </si>
  <si>
    <t>H</t>
    <phoneticPr fontId="2"/>
  </si>
  <si>
    <t>R</t>
    <phoneticPr fontId="2"/>
  </si>
  <si>
    <t>θ</t>
    <phoneticPr fontId="2"/>
  </si>
  <si>
    <t>°</t>
    <phoneticPr fontId="2"/>
  </si>
  <si>
    <t>せん断抵抗面積</t>
    <rPh sb="2" eb="3">
      <t>ダン</t>
    </rPh>
    <rPh sb="3" eb="5">
      <t>テイコウ</t>
    </rPh>
    <rPh sb="5" eb="7">
      <t>メンセキ</t>
    </rPh>
    <phoneticPr fontId="2"/>
  </si>
  <si>
    <t>Ac</t>
    <phoneticPr fontId="2"/>
  </si>
  <si>
    <t>（</t>
    <phoneticPr fontId="2"/>
  </si>
  <si>
    <t>x</t>
    <phoneticPr fontId="2"/>
  </si>
  <si>
    <t>π</t>
    <phoneticPr fontId="2"/>
  </si>
  <si>
    <t>ｘ</t>
    <phoneticPr fontId="2"/>
  </si>
  <si>
    <t>√</t>
    <phoneticPr fontId="2"/>
  </si>
  <si>
    <t>ｘ</t>
    <phoneticPr fontId="2"/>
  </si>
  <si>
    <t>+</t>
    <phoneticPr fontId="2"/>
  </si>
  <si>
    <t>π</t>
    <phoneticPr fontId="2"/>
  </si>
  <si>
    <t>）</t>
    <phoneticPr fontId="2"/>
  </si>
  <si>
    <t>ｘ</t>
    <phoneticPr fontId="2"/>
  </si>
  <si>
    <t>360°</t>
    <phoneticPr fontId="2"/>
  </si>
  <si>
    <t>/</t>
    <phoneticPr fontId="2"/>
  </si>
  <si>
    <t>Lb</t>
    <phoneticPr fontId="2"/>
  </si>
  <si>
    <t>θ</t>
    <phoneticPr fontId="2"/>
  </si>
  <si>
    <t>引抜きせん断応力度</t>
    <rPh sb="0" eb="2">
      <t>ヒキヌ</t>
    </rPh>
    <rPh sb="5" eb="6">
      <t>ダン</t>
    </rPh>
    <rPh sb="6" eb="8">
      <t>オウリョク</t>
    </rPh>
    <rPh sb="8" eb="9">
      <t>ド</t>
    </rPh>
    <phoneticPr fontId="2"/>
  </si>
  <si>
    <t>τp</t>
    <phoneticPr fontId="2"/>
  </si>
  <si>
    <t>maxNP</t>
    <phoneticPr fontId="2"/>
  </si>
  <si>
    <t>Ac</t>
    <phoneticPr fontId="2"/>
  </si>
  <si>
    <t>N/㎜²</t>
    <phoneticPr fontId="2"/>
  </si>
  <si>
    <t>≦</t>
    <phoneticPr fontId="2"/>
  </si>
  <si>
    <t>τpa</t>
    <phoneticPr fontId="2"/>
  </si>
  <si>
    <t>Σ</t>
  </si>
  <si>
    <t>N・㎜</t>
  </si>
  <si>
    <t>・</t>
    <phoneticPr fontId="2"/>
  </si>
  <si>
    <t>y</t>
  </si>
  <si>
    <t>No.2 T</t>
    <phoneticPr fontId="2"/>
  </si>
  <si>
    <t>No.3 T</t>
    <phoneticPr fontId="2"/>
  </si>
  <si>
    <t>No.4 T</t>
    <phoneticPr fontId="2"/>
  </si>
  <si>
    <t>No.5 T</t>
    <phoneticPr fontId="2"/>
  </si>
  <si>
    <t>No.6 T</t>
    <phoneticPr fontId="2"/>
  </si>
  <si>
    <t>No.1 C</t>
    <phoneticPr fontId="2"/>
  </si>
  <si>
    <t>No.2 C</t>
    <phoneticPr fontId="2"/>
  </si>
  <si>
    <t>No.3 C</t>
    <phoneticPr fontId="2"/>
  </si>
  <si>
    <t>No.4 C</t>
    <phoneticPr fontId="2"/>
  </si>
  <si>
    <t>No.5 C</t>
    <phoneticPr fontId="2"/>
  </si>
  <si>
    <t>No.6 C</t>
    <phoneticPr fontId="2"/>
  </si>
  <si>
    <t>Σn・e²＝</t>
    <phoneticPr fontId="2"/>
  </si>
  <si>
    <t>ボルトの
許容引張力Bta(N)</t>
    <phoneticPr fontId="2"/>
  </si>
  <si>
    <t>No.3 T</t>
    <phoneticPr fontId="2"/>
  </si>
  <si>
    <t>No.1 C</t>
    <phoneticPr fontId="2"/>
  </si>
  <si>
    <t>No.2 C</t>
    <phoneticPr fontId="2"/>
  </si>
  <si>
    <t>No.3 C</t>
    <phoneticPr fontId="2"/>
  </si>
  <si>
    <t>No.4 C</t>
    <phoneticPr fontId="2"/>
  </si>
  <si>
    <t>No.5 C</t>
    <phoneticPr fontId="2"/>
  </si>
  <si>
    <t>・</t>
    <phoneticPr fontId="2"/>
  </si>
  <si>
    <t>このため、支承改良ブラケットとしての設計結果により、</t>
    <phoneticPr fontId="2"/>
  </si>
  <si>
    <t>アンカーボルト径および使用本数を増加させる場合がある。</t>
  </si>
  <si>
    <t>　水平力分担構造に対する許容応力度の割り増しは、</t>
    <rPh sb="1" eb="3">
      <t>スイヘイ</t>
    </rPh>
    <rPh sb="3" eb="4">
      <t>リョク</t>
    </rPh>
    <rPh sb="4" eb="6">
      <t>ブンタン</t>
    </rPh>
    <rPh sb="6" eb="8">
      <t>コウゾウ</t>
    </rPh>
    <rPh sb="9" eb="10">
      <t>タイ</t>
    </rPh>
    <rPh sb="12" eb="14">
      <t>キョヨウ</t>
    </rPh>
    <rPh sb="14" eb="16">
      <t>オウリョク</t>
    </rPh>
    <rPh sb="16" eb="17">
      <t>ド</t>
    </rPh>
    <rPh sb="18" eb="19">
      <t>ワ</t>
    </rPh>
    <rPh sb="20" eb="21">
      <t>マ</t>
    </rPh>
    <phoneticPr fontId="2"/>
  </si>
  <si>
    <t>1.5倍を考慮するものとし、縁端拡幅構造については割り増しを考慮しない。</t>
    <rPh sb="3" eb="4">
      <t>バイ</t>
    </rPh>
    <rPh sb="5" eb="7">
      <t>コウリョ</t>
    </rPh>
    <rPh sb="14" eb="16">
      <t>エンタン</t>
    </rPh>
    <rPh sb="16" eb="18">
      <t>カクフク</t>
    </rPh>
    <rPh sb="18" eb="20">
      <t>コウゾウ</t>
    </rPh>
    <rPh sb="25" eb="26">
      <t>ワ</t>
    </rPh>
    <rPh sb="27" eb="28">
      <t>マ</t>
    </rPh>
    <rPh sb="30" eb="32">
      <t>コウリョ</t>
    </rPh>
    <phoneticPr fontId="2"/>
  </si>
  <si>
    <t>鋼材に対して降伏強度以下とし、1.7倍を考慮する。その他については、</t>
    <phoneticPr fontId="2"/>
  </si>
  <si>
    <t>㎜²</t>
    <phoneticPr fontId="2"/>
  </si>
  <si>
    <t>㎜</t>
    <phoneticPr fontId="2"/>
  </si>
  <si>
    <t>-</t>
    <phoneticPr fontId="2"/>
  </si>
  <si>
    <t>㎜</t>
    <phoneticPr fontId="2"/>
  </si>
  <si>
    <t>-</t>
    <phoneticPr fontId="2"/>
  </si>
  <si>
    <t>δsa</t>
    <phoneticPr fontId="2"/>
  </si>
  <si>
    <t>1-1</t>
    <phoneticPr fontId="2"/>
  </si>
  <si>
    <t>1-2</t>
    <phoneticPr fontId="2"/>
  </si>
  <si>
    <t>2-1</t>
    <phoneticPr fontId="2"/>
  </si>
  <si>
    <t>2-2</t>
    <phoneticPr fontId="2"/>
  </si>
  <si>
    <t>3-1</t>
    <phoneticPr fontId="2"/>
  </si>
  <si>
    <t>3-2</t>
    <phoneticPr fontId="2"/>
  </si>
  <si>
    <t>4-1</t>
    <phoneticPr fontId="2"/>
  </si>
  <si>
    <t>y (㎜)</t>
    <phoneticPr fontId="2"/>
  </si>
  <si>
    <t>yl (㎜)</t>
    <phoneticPr fontId="2"/>
  </si>
  <si>
    <t>1-1</t>
    <phoneticPr fontId="2"/>
  </si>
  <si>
    <t>1-2</t>
    <phoneticPr fontId="2"/>
  </si>
  <si>
    <t>2-1</t>
    <phoneticPr fontId="2"/>
  </si>
  <si>
    <t>2-2</t>
    <phoneticPr fontId="2"/>
  </si>
  <si>
    <t>3-1</t>
    <phoneticPr fontId="2"/>
  </si>
  <si>
    <t>3-2</t>
    <phoneticPr fontId="2"/>
  </si>
  <si>
    <t>4-1</t>
    <phoneticPr fontId="2"/>
  </si>
  <si>
    <t>4-2</t>
    <phoneticPr fontId="2"/>
  </si>
  <si>
    <t>Ly (㎜)</t>
    <phoneticPr fontId="2"/>
  </si>
  <si>
    <t>L (㎜)</t>
    <phoneticPr fontId="2"/>
  </si>
  <si>
    <t>L² (㎜²)</t>
    <phoneticPr fontId="2"/>
  </si>
  <si>
    <t>Sy (N)</t>
    <phoneticPr fontId="2"/>
  </si>
  <si>
    <t>Lx (㎜)</t>
  </si>
  <si>
    <t>τｘ 
(Ｎ/㎜²）</t>
    <phoneticPr fontId="2"/>
  </si>
  <si>
    <t>τｙ
(Ｎ/㎜²）</t>
    <phoneticPr fontId="2"/>
  </si>
  <si>
    <t>Στ
(Ｎ/㎜²）</t>
    <phoneticPr fontId="2"/>
  </si>
  <si>
    <t>τa
(Ｎ/㎜²）</t>
    <phoneticPr fontId="2"/>
  </si>
  <si>
    <t xml:space="preserve"> また、ブラケットに十分な剛性を持たせるために、主要部材の最小板厚を22㎜とする。</t>
    <rPh sb="10" eb="12">
      <t>ジュウブン</t>
    </rPh>
    <rPh sb="13" eb="15">
      <t>ゴウセイ</t>
    </rPh>
    <rPh sb="16" eb="17">
      <t>モ</t>
    </rPh>
    <rPh sb="24" eb="26">
      <t>シュヨウ</t>
    </rPh>
    <rPh sb="26" eb="28">
      <t>ブザイ</t>
    </rPh>
    <rPh sb="29" eb="31">
      <t>サイショウ</t>
    </rPh>
    <rPh sb="31" eb="33">
      <t>イタアツ</t>
    </rPh>
    <phoneticPr fontId="2"/>
  </si>
  <si>
    <t>M48</t>
    <phoneticPr fontId="2"/>
  </si>
  <si>
    <t>-</t>
    <phoneticPr fontId="2"/>
  </si>
  <si>
    <t>N/㎜²</t>
  </si>
  <si>
    <t>δs</t>
    <phoneticPr fontId="2"/>
  </si>
  <si>
    <t>=</t>
    <phoneticPr fontId="2"/>
  </si>
  <si>
    <t>N/㎜²</t>
    <phoneticPr fontId="2"/>
  </si>
  <si>
    <t>°</t>
    <phoneticPr fontId="2"/>
  </si>
  <si>
    <t>落橋防止装置　下部工ブラケットの照査</t>
    <rPh sb="0" eb="4">
      <t>ラッキョウボウシ</t>
    </rPh>
    <rPh sb="4" eb="6">
      <t>ソウチ</t>
    </rPh>
    <rPh sb="7" eb="10">
      <t>カブコウ</t>
    </rPh>
    <rPh sb="16" eb="18">
      <t>ショウサ</t>
    </rPh>
    <phoneticPr fontId="2"/>
  </si>
  <si>
    <t>判定　　δc ≦δca</t>
    <rPh sb="0" eb="2">
      <t>ハンテイ</t>
    </rPh>
    <phoneticPr fontId="2"/>
  </si>
  <si>
    <t>作用鉛直力、VRによりボルトに作用する引張力　Bt1</t>
  </si>
  <si>
    <t xml:space="preserve"> i　)</t>
    <phoneticPr fontId="2"/>
  </si>
  <si>
    <t>：</t>
  </si>
  <si>
    <t>：</t>
    <phoneticPr fontId="2"/>
  </si>
  <si>
    <t xml:space="preserve"> D51 (SD345)  &lt;M48を使用する。&gt;</t>
  </si>
  <si>
    <t>M48</t>
    <phoneticPr fontId="2"/>
  </si>
  <si>
    <t>の有効断面積</t>
  </si>
  <si>
    <t>ネジ部の有効断面積</t>
    <rPh sb="2" eb="3">
      <t>ブ</t>
    </rPh>
    <rPh sb="4" eb="6">
      <t>ユウコウ</t>
    </rPh>
    <rPh sb="6" eb="9">
      <t>ダンメンセキ</t>
    </rPh>
    <phoneticPr fontId="2"/>
  </si>
  <si>
    <t>As</t>
    <phoneticPr fontId="2"/>
  </si>
  <si>
    <t xml:space="preserve"> (㎜²)</t>
    <phoneticPr fontId="2"/>
  </si>
  <si>
    <t>1)</t>
    <phoneticPr fontId="2"/>
  </si>
  <si>
    <t xml:space="preserve"> 支承条件</t>
    <phoneticPr fontId="2"/>
  </si>
  <si>
    <t>　固定</t>
  </si>
  <si>
    <t xml:space="preserve">2) </t>
    <phoneticPr fontId="2"/>
  </si>
  <si>
    <t>設計荷重</t>
  </si>
  <si>
    <t xml:space="preserve">yl </t>
    <phoneticPr fontId="2"/>
  </si>
  <si>
    <t>:</t>
    <phoneticPr fontId="2"/>
  </si>
  <si>
    <t xml:space="preserve"> 鋼製ブラケット下端からアンカーボルトまでの距離</t>
  </si>
  <si>
    <t>yu</t>
    <phoneticPr fontId="2"/>
  </si>
  <si>
    <t>:</t>
    <phoneticPr fontId="2"/>
  </si>
  <si>
    <t>鋼製ブラケット上端からアンカーボルトまでの距離</t>
    <rPh sb="9" eb="10">
      <t>ウエ</t>
    </rPh>
    <phoneticPr fontId="2"/>
  </si>
  <si>
    <t>xl</t>
    <phoneticPr fontId="2"/>
  </si>
  <si>
    <t>:</t>
    <phoneticPr fontId="2"/>
  </si>
  <si>
    <t>鋼製ブラケット左端からアンカーボルトまでの距離</t>
    <rPh sb="9" eb="10">
      <t>ヒダリ</t>
    </rPh>
    <phoneticPr fontId="2"/>
  </si>
  <si>
    <t>xr</t>
    <phoneticPr fontId="2"/>
  </si>
  <si>
    <t>鋼製ブラケット右端からアンカーボルトまでの距離</t>
    <rPh sb="9" eb="10">
      <t>ミギ</t>
    </rPh>
    <phoneticPr fontId="2"/>
  </si>
  <si>
    <t>n</t>
    <phoneticPr fontId="2"/>
  </si>
  <si>
    <t>:</t>
    <phoneticPr fontId="2"/>
  </si>
  <si>
    <t>設置アンカーボルト本数</t>
    <rPh sb="2" eb="4">
      <t>セッチ</t>
    </rPh>
    <phoneticPr fontId="2"/>
  </si>
  <si>
    <t xml:space="preserve">(1)-1. </t>
    <phoneticPr fontId="2"/>
  </si>
  <si>
    <t>設計断面力の算出</t>
    <phoneticPr fontId="2"/>
  </si>
  <si>
    <t>(1)-2.</t>
    <phoneticPr fontId="2"/>
  </si>
  <si>
    <t xml:space="preserve"> 軸方向応力度の照査</t>
  </si>
  <si>
    <t xml:space="preserve"> 軸方向応力度の照査</t>
    <phoneticPr fontId="2"/>
  </si>
  <si>
    <t xml:space="preserve">2）-3 </t>
    <phoneticPr fontId="2"/>
  </si>
  <si>
    <t>アンカーボルトの設計</t>
  </si>
  <si>
    <t>2)</t>
    <phoneticPr fontId="2"/>
  </si>
  <si>
    <t>下部工付取付金具(鋼製ブラケット)の設計</t>
    <phoneticPr fontId="2"/>
  </si>
  <si>
    <t xml:space="preserve">2)-1. </t>
    <phoneticPr fontId="2"/>
  </si>
  <si>
    <t>断面力の計算</t>
  </si>
  <si>
    <t>設計条件</t>
  </si>
  <si>
    <t xml:space="preserve">3) </t>
    <phoneticPr fontId="2"/>
  </si>
  <si>
    <t>設計移動量</t>
  </si>
  <si>
    <t xml:space="preserve">4) </t>
    <phoneticPr fontId="2"/>
  </si>
  <si>
    <t>使用材料及び許容応力度</t>
  </si>
  <si>
    <t>5)</t>
    <phoneticPr fontId="2"/>
  </si>
  <si>
    <t xml:space="preserve"> せん断ストッパー形式</t>
  </si>
  <si>
    <t>応力度</t>
    <rPh sb="0" eb="2">
      <t>オウリョク</t>
    </rPh>
    <rPh sb="2" eb="3">
      <t>ド</t>
    </rPh>
    <phoneticPr fontId="2"/>
  </si>
  <si>
    <t>コンクリート圧縮応力度</t>
  </si>
  <si>
    <t>コンクリート圧縮応力度</t>
    <phoneticPr fontId="2"/>
  </si>
  <si>
    <t>(2).</t>
    <phoneticPr fontId="2"/>
  </si>
  <si>
    <t>橋軸方向に対する検討</t>
    <phoneticPr fontId="2"/>
  </si>
  <si>
    <t>(2)-1.</t>
    <phoneticPr fontId="2"/>
  </si>
  <si>
    <t xml:space="preserve"> 設計断面力の算出</t>
  </si>
  <si>
    <t>(2)-2.</t>
    <phoneticPr fontId="2"/>
  </si>
  <si>
    <t>応力度　</t>
    <rPh sb="0" eb="2">
      <t>オウリョク</t>
    </rPh>
    <rPh sb="2" eb="3">
      <t>ド</t>
    </rPh>
    <phoneticPr fontId="2"/>
  </si>
  <si>
    <t>(3).</t>
    <phoneticPr fontId="2"/>
  </si>
  <si>
    <t>橋軸直角方向に対する検討</t>
  </si>
  <si>
    <t xml:space="preserve">(3)-1. </t>
    <phoneticPr fontId="2"/>
  </si>
  <si>
    <t>純せん断応力度の照査</t>
  </si>
  <si>
    <t xml:space="preserve">(3)-2. </t>
    <phoneticPr fontId="2"/>
  </si>
  <si>
    <t>回転によるせん断応力度の照査</t>
  </si>
  <si>
    <t xml:space="preserve">(3)-3. </t>
    <phoneticPr fontId="2"/>
  </si>
  <si>
    <t>引張応力度および合成応力度の照査</t>
    <phoneticPr fontId="2"/>
  </si>
  <si>
    <t>H2方向荷重</t>
    <phoneticPr fontId="2"/>
  </si>
  <si>
    <t>H1’方向</t>
    <phoneticPr fontId="2"/>
  </si>
  <si>
    <t>コンクリート圧縮応力度</t>
    <phoneticPr fontId="2"/>
  </si>
  <si>
    <t>設計基準強度</t>
    <phoneticPr fontId="2"/>
  </si>
  <si>
    <t xml:space="preserve">(3)-4. </t>
    <phoneticPr fontId="2"/>
  </si>
  <si>
    <t>引張応力度および合成応力度の照査 : H2'方向荷重</t>
  </si>
  <si>
    <t xml:space="preserve">(a). </t>
    <phoneticPr fontId="2"/>
  </si>
  <si>
    <t>曲げモーメント</t>
  </si>
  <si>
    <t>①</t>
    <phoneticPr fontId="2"/>
  </si>
  <si>
    <t>トッププレートの照査</t>
    <phoneticPr fontId="2"/>
  </si>
  <si>
    <t>①-1）</t>
    <phoneticPr fontId="2"/>
  </si>
  <si>
    <t>①-2）</t>
    <phoneticPr fontId="2"/>
  </si>
  <si>
    <t>断面係数</t>
  </si>
  <si>
    <t>①-3）</t>
    <phoneticPr fontId="2"/>
  </si>
  <si>
    <t>断面積</t>
  </si>
  <si>
    <t>ii)</t>
    <phoneticPr fontId="2"/>
  </si>
  <si>
    <t>水平力、HFによりボルトに作用する引張力　Bt2</t>
  </si>
  <si>
    <t>ボルトに作用する引張力　Bt</t>
  </si>
  <si>
    <t>iii)</t>
    <phoneticPr fontId="2"/>
  </si>
  <si>
    <t>引張力の合計ΣBt</t>
  </si>
  <si>
    <t>3）</t>
    <phoneticPr fontId="2"/>
  </si>
  <si>
    <t>せん断力</t>
  </si>
  <si>
    <t>4）</t>
    <phoneticPr fontId="2"/>
  </si>
  <si>
    <t>応力度の照査</t>
  </si>
  <si>
    <t>5）</t>
    <phoneticPr fontId="2"/>
  </si>
  <si>
    <t>コンクリートの押し抜きせん断に対する照査</t>
  </si>
  <si>
    <t>6）</t>
    <phoneticPr fontId="2"/>
  </si>
  <si>
    <t>アンカーボルトの使用本数</t>
  </si>
  <si>
    <t>sin</t>
    <phoneticPr fontId="2"/>
  </si>
  <si>
    <t>cos</t>
    <phoneticPr fontId="2"/>
  </si>
  <si>
    <t>ベース幅</t>
    <rPh sb="3" eb="4">
      <t>ハバ</t>
    </rPh>
    <phoneticPr fontId="2"/>
  </si>
  <si>
    <t>ベース高</t>
    <rPh sb="3" eb="4">
      <t>タカ</t>
    </rPh>
    <phoneticPr fontId="2"/>
  </si>
  <si>
    <t>mm</t>
    <phoneticPr fontId="2"/>
  </si>
  <si>
    <t>mm</t>
    <phoneticPr fontId="2"/>
  </si>
  <si>
    <t>N</t>
    <phoneticPr fontId="2"/>
  </si>
  <si>
    <t>mm2</t>
    <phoneticPr fontId="2"/>
  </si>
  <si>
    <t xml:space="preserve"> 水平力分担構造の設計</t>
    <phoneticPr fontId="2"/>
  </si>
  <si>
    <r>
      <rPr>
        <sz val="10.5"/>
        <rFont val="ＭＳ Ｐゴシック"/>
        <family val="3"/>
        <charset val="128"/>
        <scheme val="minor"/>
      </rPr>
      <t>判定　　δs ≦δsa</t>
    </r>
    <rPh sb="0" eb="2">
      <t>ハンテイ</t>
    </rPh>
    <phoneticPr fontId="2"/>
  </si>
  <si>
    <t>RC断面計算表より</t>
    <rPh sb="2" eb="4">
      <t>ダンメン</t>
    </rPh>
    <rPh sb="4" eb="6">
      <t>ケイサン</t>
    </rPh>
    <rPh sb="6" eb="7">
      <t>ヒョウ</t>
    </rPh>
    <phoneticPr fontId="2"/>
  </si>
  <si>
    <t>°</t>
    <phoneticPr fontId="2"/>
  </si>
  <si>
    <t>←sinθ</t>
    <phoneticPr fontId="2"/>
  </si>
  <si>
    <t>（トッププレートを斜角にあわせ、傾けて設置する。)</t>
    <rPh sb="9" eb="11">
      <t>シャカク</t>
    </rPh>
    <rPh sb="16" eb="17">
      <t>カタム</t>
    </rPh>
    <rPh sb="19" eb="21">
      <t>セッチ</t>
    </rPh>
    <phoneticPr fontId="2"/>
  </si>
  <si>
    <t>既設下部工との斜角</t>
    <rPh sb="0" eb="2">
      <t>キセツ</t>
    </rPh>
    <rPh sb="2" eb="5">
      <t>カブコウ</t>
    </rPh>
    <rPh sb="7" eb="9">
      <t>シャカク</t>
    </rPh>
    <phoneticPr fontId="2"/>
  </si>
  <si>
    <t>sinθ</t>
    <phoneticPr fontId="2"/>
  </si>
  <si>
    <t>cosθ</t>
    <phoneticPr fontId="2"/>
  </si>
  <si>
    <t>yi(mm)</t>
    <phoneticPr fontId="2"/>
  </si>
  <si>
    <t>(τｙ)²</t>
    <phoneticPr fontId="2"/>
  </si>
  <si>
    <t>ここでは斜角を有する場合の計算例を示すため，55°とする。</t>
    <rPh sb="2" eb="3">
      <t>シャ</t>
    </rPh>
    <rPh sb="3" eb="4">
      <t>カク</t>
    </rPh>
    <rPh sb="7" eb="8">
      <t>ユウ</t>
    </rPh>
    <rPh sb="10" eb="12">
      <t>バアイ</t>
    </rPh>
    <rPh sb="13" eb="14">
      <t>レイ</t>
    </rPh>
    <rPh sb="15" eb="16">
      <t>シメ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</si>
</sst>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"/>
    <numFmt numFmtId="177" formatCode="0_ "/>
    <numFmt numFmtId="178" formatCode="0.0000"/>
    <numFmt numFmtId="179" formatCode="#,##0.0;[Red]\-#,##0.0"/>
    <numFmt numFmtId="180" formatCode="0.0_ "/>
  </numFmts>
  <fonts count="12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明朝"/>
      <family val="1"/>
      <charset val="128"/>
    </font>
    <font>
      <sz val="11"/>
      <name val="ＭＳ Ｐゴシック"/>
      <family val="2"/>
      <charset val="128"/>
      <scheme val="minor"/>
    </font>
    <font>
      <sz val="10"/>
      <name val="ＭＳ Ｐ明朝"/>
      <family val="1"/>
      <charset val="128"/>
    </font>
    <font>
      <sz val="10.5"/>
      <color theme="0"/>
      <name val="ＭＳ Ｐゴシック"/>
      <family val="2"/>
      <charset val="128"/>
      <scheme val="minor"/>
    </font>
    <font>
      <sz val="10.5"/>
      <color theme="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11">
    <xf numFmtId="0" fontId="0" fillId="0" borderId="0" xfId="0">
      <alignment vertical="center"/>
    </xf>
    <xf numFmtId="0" fontId="3" fillId="0" borderId="0" xfId="0" applyNumberFormat="1" applyFont="1">
      <alignment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2" borderId="0" xfId="1" applyNumberFormat="1" applyFont="1" applyFill="1">
      <alignment vertical="center"/>
    </xf>
    <xf numFmtId="0" fontId="4" fillId="0" borderId="0" xfId="1" applyNumberFormat="1" applyFont="1">
      <alignment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Alignment="1">
      <alignment horizontal="right" vertical="center"/>
    </xf>
    <xf numFmtId="0" fontId="5" fillId="0" borderId="0" xfId="0" applyNumberFormat="1" applyFont="1">
      <alignment vertical="center"/>
    </xf>
    <xf numFmtId="0" fontId="4" fillId="0" borderId="2" xfId="0" applyNumberFormat="1" applyFont="1" applyBorder="1" applyAlignment="1">
      <alignment vertical="center"/>
    </xf>
    <xf numFmtId="0" fontId="4" fillId="0" borderId="2" xfId="0" applyNumberFormat="1" applyFont="1" applyBorder="1">
      <alignment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13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1" xfId="0" applyNumberFormat="1" applyFont="1" applyBorder="1">
      <alignment vertical="center"/>
    </xf>
    <xf numFmtId="0" fontId="4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/>
    </xf>
    <xf numFmtId="0" fontId="4" fillId="2" borderId="0" xfId="0" applyNumberFormat="1" applyFont="1" applyFill="1">
      <alignment vertical="center"/>
    </xf>
    <xf numFmtId="0" fontId="4" fillId="2" borderId="0" xfId="0" applyNumberFormat="1" applyFont="1" applyFill="1" applyAlignment="1">
      <alignment horizontal="center" vertical="center"/>
    </xf>
    <xf numFmtId="0" fontId="3" fillId="2" borderId="0" xfId="0" applyNumberFormat="1" applyFont="1" applyFill="1">
      <alignment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0" applyNumberFormat="1" applyFo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quotePrefix="1" applyNumberFormat="1" applyFont="1">
      <alignment vertical="center"/>
    </xf>
    <xf numFmtId="0" fontId="3" fillId="4" borderId="0" xfId="0" applyNumberFormat="1" applyFont="1" applyFill="1">
      <alignment vertical="center"/>
    </xf>
    <xf numFmtId="0" fontId="3" fillId="0" borderId="0" xfId="1" applyNumberFormat="1" applyFont="1">
      <alignment vertical="center"/>
    </xf>
    <xf numFmtId="0" fontId="4" fillId="0" borderId="15" xfId="0" applyNumberFormat="1" applyFont="1" applyBorder="1" applyAlignment="1">
      <alignment horizontal="center" vertical="center"/>
    </xf>
    <xf numFmtId="0" fontId="4" fillId="0" borderId="15" xfId="0" applyNumberFormat="1" applyFont="1" applyBorder="1" applyAlignment="1">
      <alignment vertical="center"/>
    </xf>
    <xf numFmtId="0" fontId="4" fillId="0" borderId="1" xfId="0" applyNumberFormat="1" applyFont="1" applyBorder="1" applyAlignment="1">
      <alignment vertical="center"/>
    </xf>
    <xf numFmtId="0" fontId="6" fillId="0" borderId="0" xfId="0" applyNumberFormat="1" applyFont="1">
      <alignment vertical="center"/>
    </xf>
    <xf numFmtId="0" fontId="4" fillId="0" borderId="0" xfId="0" applyNumberFormat="1" applyFont="1" applyAlignment="1">
      <alignment horizontal="left" vertical="center"/>
    </xf>
    <xf numFmtId="0" fontId="4" fillId="0" borderId="0" xfId="1" applyNumberFormat="1" applyFont="1" applyAlignment="1">
      <alignment vertical="center"/>
    </xf>
    <xf numFmtId="0" fontId="3" fillId="3" borderId="0" xfId="0" applyNumberFormat="1" applyFont="1" applyFill="1">
      <alignment vertical="center"/>
    </xf>
    <xf numFmtId="0" fontId="4" fillId="2" borderId="0" xfId="0" applyNumberFormat="1" applyFont="1" applyFill="1" applyAlignment="1">
      <alignment vertical="center"/>
    </xf>
    <xf numFmtId="0" fontId="7" fillId="0" borderId="0" xfId="0" applyNumberFormat="1" applyFont="1">
      <alignment vertical="center"/>
    </xf>
    <xf numFmtId="0" fontId="6" fillId="0" borderId="0" xfId="0" applyNumberFormat="1" applyFont="1" applyAlignment="1">
      <alignment horizontal="right" vertical="center"/>
    </xf>
    <xf numFmtId="0" fontId="6" fillId="0" borderId="0" xfId="0" applyNumberFormat="1" applyFont="1" applyAlignment="1">
      <alignment horizontal="center" vertical="center"/>
    </xf>
    <xf numFmtId="0" fontId="4" fillId="0" borderId="16" xfId="0" applyNumberFormat="1" applyFont="1" applyBorder="1">
      <alignment vertical="center"/>
    </xf>
    <xf numFmtId="0" fontId="4" fillId="0" borderId="0" xfId="0" applyNumberFormat="1" applyFont="1" applyBorder="1">
      <alignment vertical="center"/>
    </xf>
    <xf numFmtId="0" fontId="4" fillId="0" borderId="17" xfId="0" applyNumberFormat="1" applyFont="1" applyBorder="1">
      <alignment vertical="center"/>
    </xf>
    <xf numFmtId="0" fontId="4" fillId="0" borderId="8" xfId="0" applyNumberFormat="1" applyFont="1" applyBorder="1">
      <alignment vertical="center"/>
    </xf>
    <xf numFmtId="0" fontId="4" fillId="0" borderId="9" xfId="0" applyNumberFormat="1" applyFont="1" applyBorder="1">
      <alignment vertical="center"/>
    </xf>
    <xf numFmtId="0" fontId="4" fillId="0" borderId="9" xfId="0" applyNumberFormat="1" applyFont="1" applyBorder="1" applyAlignment="1">
      <alignment vertical="center"/>
    </xf>
    <xf numFmtId="0" fontId="4" fillId="0" borderId="10" xfId="0" applyNumberFormat="1" applyFont="1" applyBorder="1" applyAlignment="1">
      <alignment vertical="center"/>
    </xf>
    <xf numFmtId="0" fontId="3" fillId="0" borderId="0" xfId="0" applyNumberFormat="1" applyFont="1" applyFill="1" applyBorder="1">
      <alignment vertical="center"/>
    </xf>
    <xf numFmtId="0" fontId="4" fillId="0" borderId="0" xfId="0" applyNumberFormat="1" applyFont="1" applyFill="1" applyBorder="1">
      <alignment vertical="center"/>
    </xf>
    <xf numFmtId="0" fontId="6" fillId="0" borderId="0" xfId="0" applyNumberFormat="1" applyFont="1" applyFill="1" applyBorder="1">
      <alignment vertical="center"/>
    </xf>
    <xf numFmtId="0" fontId="4" fillId="0" borderId="8" xfId="0" applyNumberFormat="1" applyFont="1" applyBorder="1" applyAlignment="1">
      <alignment vertical="center"/>
    </xf>
    <xf numFmtId="0" fontId="4" fillId="0" borderId="9" xfId="0" applyNumberFormat="1" applyFont="1" applyBorder="1" applyAlignment="1">
      <alignment horizontal="center" vertical="center"/>
    </xf>
    <xf numFmtId="0" fontId="6" fillId="0" borderId="0" xfId="0" applyNumberFormat="1" applyFont="1" applyBorder="1">
      <alignment vertical="center"/>
    </xf>
    <xf numFmtId="0" fontId="4" fillId="0" borderId="0" xfId="0" applyNumberFormat="1" applyFont="1" applyAlignment="1">
      <alignment horizontal="center" vertical="center"/>
    </xf>
    <xf numFmtId="177" fontId="3" fillId="0" borderId="0" xfId="0" applyNumberFormat="1" applyFont="1">
      <alignment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NumberFormat="1" applyFont="1" applyFill="1" applyAlignment="1">
      <alignment vertical="center"/>
    </xf>
    <xf numFmtId="0" fontId="3" fillId="0" borderId="0" xfId="0" applyNumberFormat="1" applyFont="1" applyFill="1">
      <alignment vertical="center"/>
    </xf>
    <xf numFmtId="0" fontId="8" fillId="0" borderId="0" xfId="0" applyNumberFormat="1" applyFont="1" applyFill="1" applyBorder="1">
      <alignment vertical="center"/>
    </xf>
    <xf numFmtId="0" fontId="9" fillId="0" borderId="0" xfId="0" applyNumberFormat="1" applyFont="1">
      <alignment vertical="center"/>
    </xf>
    <xf numFmtId="176" fontId="4" fillId="0" borderId="0" xfId="0" applyNumberFormat="1" applyFont="1" applyBorder="1">
      <alignment vertical="center"/>
    </xf>
    <xf numFmtId="0" fontId="10" fillId="0" borderId="0" xfId="0" applyNumberFormat="1" applyFont="1">
      <alignment vertical="center"/>
    </xf>
    <xf numFmtId="38" fontId="4" fillId="0" borderId="0" xfId="1" applyFont="1" applyBorder="1">
      <alignment vertical="center"/>
    </xf>
    <xf numFmtId="38" fontId="4" fillId="0" borderId="17" xfId="1" applyFont="1" applyBorder="1">
      <alignment vertical="center"/>
    </xf>
    <xf numFmtId="177" fontId="4" fillId="0" borderId="0" xfId="0" applyNumberFormat="1" applyFont="1" applyBorder="1" applyAlignment="1">
      <alignment horizontal="center" vertical="center"/>
    </xf>
    <xf numFmtId="177" fontId="4" fillId="0" borderId="0" xfId="0" applyNumberFormat="1" applyFont="1" applyBorder="1">
      <alignment vertical="center"/>
    </xf>
    <xf numFmtId="0" fontId="4" fillId="0" borderId="17" xfId="0" applyNumberFormat="1" applyFont="1" applyFill="1" applyBorder="1">
      <alignment vertical="center"/>
    </xf>
    <xf numFmtId="2" fontId="4" fillId="0" borderId="0" xfId="0" applyNumberFormat="1" applyFont="1">
      <alignment vertical="center"/>
    </xf>
    <xf numFmtId="176" fontId="4" fillId="0" borderId="0" xfId="0" applyNumberFormat="1" applyFo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79" fontId="4" fillId="0" borderId="1" xfId="1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179" fontId="4" fillId="0" borderId="0" xfId="1" applyNumberFormat="1" applyFont="1" applyAlignment="1">
      <alignment horizontal="center" vertical="center"/>
    </xf>
    <xf numFmtId="38" fontId="4" fillId="0" borderId="0" xfId="1" applyFont="1" applyAlignment="1">
      <alignment horizontal="center" vertical="center"/>
    </xf>
    <xf numFmtId="38" fontId="4" fillId="0" borderId="1" xfId="1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38" fontId="4" fillId="0" borderId="1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38" fontId="4" fillId="0" borderId="9" xfId="0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38" fontId="4" fillId="0" borderId="2" xfId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" vertical="center"/>
    </xf>
    <xf numFmtId="177" fontId="4" fillId="0" borderId="2" xfId="1" applyNumberFormat="1" applyFont="1" applyBorder="1" applyAlignment="1">
      <alignment horizontal="center" vertical="center"/>
    </xf>
    <xf numFmtId="38" fontId="4" fillId="0" borderId="2" xfId="1" applyFont="1" applyFill="1" applyBorder="1" applyAlignment="1">
      <alignment horizontal="center" vertical="center"/>
    </xf>
    <xf numFmtId="38" fontId="4" fillId="0" borderId="7" xfId="1" applyFont="1" applyFill="1" applyBorder="1" applyAlignment="1">
      <alignment horizontal="center" vertical="center"/>
    </xf>
    <xf numFmtId="38" fontId="4" fillId="0" borderId="7" xfId="1" applyFont="1" applyBorder="1" applyAlignment="1">
      <alignment horizontal="center" vertical="center"/>
    </xf>
    <xf numFmtId="176" fontId="4" fillId="0" borderId="2" xfId="1" applyNumberFormat="1" applyFont="1" applyFill="1" applyBorder="1" applyAlignment="1">
      <alignment horizontal="center" vertical="center"/>
    </xf>
    <xf numFmtId="176" fontId="4" fillId="0" borderId="2" xfId="1" applyNumberFormat="1" applyFont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176" fontId="4" fillId="0" borderId="7" xfId="1" applyNumberFormat="1" applyFont="1" applyFill="1" applyBorder="1" applyAlignment="1">
      <alignment horizontal="center" vertical="center"/>
    </xf>
    <xf numFmtId="0" fontId="3" fillId="0" borderId="4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4" fillId="0" borderId="7" xfId="0" applyNumberFormat="1" applyFont="1" applyBorder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/>
    </xf>
    <xf numFmtId="176" fontId="4" fillId="0" borderId="7" xfId="1" applyNumberFormat="1" applyFont="1" applyBorder="1" applyAlignment="1">
      <alignment horizontal="center" vertical="center"/>
    </xf>
    <xf numFmtId="176" fontId="4" fillId="0" borderId="9" xfId="1" applyNumberFormat="1" applyFont="1" applyBorder="1" applyAlignment="1">
      <alignment horizontal="center" vertical="center"/>
    </xf>
    <xf numFmtId="0" fontId="4" fillId="0" borderId="9" xfId="1" applyNumberFormat="1" applyFont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76" fontId="4" fillId="0" borderId="0" xfId="1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2" borderId="18" xfId="0" applyNumberFormat="1" applyFont="1" applyFill="1" applyBorder="1" applyAlignment="1">
      <alignment horizontal="center" vertical="center"/>
    </xf>
    <xf numFmtId="0" fontId="4" fillId="2" borderId="20" xfId="0" applyNumberFormat="1" applyFont="1" applyFill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38" fontId="4" fillId="0" borderId="0" xfId="1" applyFont="1" applyFill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0" fontId="4" fillId="0" borderId="15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 wrapText="1"/>
    </xf>
    <xf numFmtId="1" fontId="4" fillId="0" borderId="0" xfId="1" applyNumberFormat="1" applyFont="1" applyFill="1" applyAlignment="1">
      <alignment horizontal="center" vertical="center"/>
    </xf>
    <xf numFmtId="0" fontId="4" fillId="2" borderId="0" xfId="1" applyNumberFormat="1" applyFont="1" applyFill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1" fontId="4" fillId="0" borderId="18" xfId="0" applyNumberFormat="1" applyFont="1" applyFill="1" applyBorder="1" applyAlignment="1">
      <alignment horizontal="center" vertical="center"/>
    </xf>
    <xf numFmtId="1" fontId="4" fillId="0" borderId="19" xfId="0" applyNumberFormat="1" applyFont="1" applyFill="1" applyBorder="1" applyAlignment="1">
      <alignment horizontal="center" vertical="center"/>
    </xf>
    <xf numFmtId="1" fontId="4" fillId="0" borderId="20" xfId="0" applyNumberFormat="1" applyFont="1" applyFill="1" applyBorder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0" fontId="4" fillId="2" borderId="0" xfId="0" applyNumberFormat="1" applyFont="1" applyFill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4" fillId="4" borderId="0" xfId="0" applyNumberFormat="1" applyFont="1" applyFill="1" applyAlignment="1">
      <alignment horizontal="center" vertical="center"/>
    </xf>
    <xf numFmtId="0" fontId="4" fillId="0" borderId="2" xfId="1" applyNumberFormat="1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0" fontId="4" fillId="0" borderId="19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3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8" xfId="0" applyNumberFormat="1" applyFont="1" applyFill="1" applyBorder="1" applyAlignment="1">
      <alignment horizontal="center" vertical="center"/>
    </xf>
    <xf numFmtId="0" fontId="4" fillId="0" borderId="19" xfId="0" applyNumberFormat="1" applyFont="1" applyFill="1" applyBorder="1" applyAlignment="1">
      <alignment horizontal="center" vertical="center"/>
    </xf>
    <xf numFmtId="178" fontId="4" fillId="0" borderId="23" xfId="0" applyNumberFormat="1" applyFont="1" applyFill="1" applyBorder="1" applyAlignment="1">
      <alignment horizontal="center" vertical="center"/>
    </xf>
    <xf numFmtId="178" fontId="4" fillId="0" borderId="15" xfId="0" applyNumberFormat="1" applyFont="1" applyFill="1" applyBorder="1" applyAlignment="1">
      <alignment horizontal="center" vertical="center"/>
    </xf>
    <xf numFmtId="178" fontId="4" fillId="0" borderId="24" xfId="0" applyNumberFormat="1" applyFont="1" applyFill="1" applyBorder="1" applyAlignment="1">
      <alignment horizontal="center" vertical="center"/>
    </xf>
    <xf numFmtId="0" fontId="4" fillId="0" borderId="24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1" fontId="4" fillId="0" borderId="23" xfId="0" applyNumberFormat="1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13" xfId="0" applyNumberFormat="1" applyFont="1" applyBorder="1" applyAlignment="1">
      <alignment horizontal="center" vertical="center"/>
    </xf>
    <xf numFmtId="0" fontId="4" fillId="0" borderId="14" xfId="0" applyNumberFormat="1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0" fontId="4" fillId="0" borderId="22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26" xfId="0" applyNumberFormat="1" applyFont="1" applyFill="1" applyBorder="1" applyAlignment="1">
      <alignment horizontal="center" vertical="center"/>
    </xf>
    <xf numFmtId="1" fontId="4" fillId="0" borderId="24" xfId="0" applyNumberFormat="1" applyFont="1" applyFill="1" applyBorder="1" applyAlignment="1">
      <alignment horizontal="center" vertical="center"/>
    </xf>
    <xf numFmtId="1" fontId="4" fillId="0" borderId="22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0" fontId="4" fillId="0" borderId="25" xfId="0" applyNumberFormat="1" applyFont="1" applyBorder="1" applyAlignment="1">
      <alignment horizontal="center" vertical="center"/>
    </xf>
    <xf numFmtId="1" fontId="4" fillId="0" borderId="2" xfId="1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176" fontId="4" fillId="0" borderId="1" xfId="1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 wrapText="1"/>
    </xf>
    <xf numFmtId="0" fontId="4" fillId="0" borderId="22" xfId="0" applyNumberFormat="1" applyFont="1" applyBorder="1" applyAlignment="1">
      <alignment horizontal="center" vertical="center" wrapText="1"/>
    </xf>
    <xf numFmtId="0" fontId="4" fillId="0" borderId="26" xfId="0" applyNumberFormat="1" applyFont="1" applyBorder="1" applyAlignment="1">
      <alignment horizontal="center" vertical="center" wrapText="1"/>
    </xf>
    <xf numFmtId="0" fontId="4" fillId="0" borderId="11" xfId="0" applyNumberFormat="1" applyFont="1" applyBorder="1" applyAlignment="1">
      <alignment horizontal="center" vertical="center" wrapText="1"/>
    </xf>
    <xf numFmtId="0" fontId="4" fillId="0" borderId="27" xfId="0" applyNumberFormat="1" applyFont="1" applyBorder="1" applyAlignment="1">
      <alignment horizontal="center" vertical="center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0" xfId="1" applyNumberFormat="1" applyFont="1" applyBorder="1" applyAlignment="1">
      <alignment horizontal="center" vertical="center"/>
    </xf>
    <xf numFmtId="0" fontId="4" fillId="2" borderId="23" xfId="0" applyNumberFormat="1" applyFont="1" applyFill="1" applyBorder="1" applyAlignment="1">
      <alignment horizontal="center" vertical="center"/>
    </xf>
    <xf numFmtId="0" fontId="4" fillId="2" borderId="15" xfId="0" applyNumberFormat="1" applyFont="1" applyFill="1" applyBorder="1" applyAlignment="1">
      <alignment horizontal="center" vertical="center"/>
    </xf>
    <xf numFmtId="176" fontId="4" fillId="0" borderId="23" xfId="0" applyNumberFormat="1" applyFont="1" applyFill="1" applyBorder="1" applyAlignment="1">
      <alignment horizontal="center" vertical="center"/>
    </xf>
    <xf numFmtId="176" fontId="4" fillId="0" borderId="15" xfId="0" applyNumberFormat="1" applyFont="1" applyFill="1" applyBorder="1" applyAlignment="1">
      <alignment horizontal="center" vertical="center"/>
    </xf>
    <xf numFmtId="0" fontId="4" fillId="0" borderId="20" xfId="0" applyNumberFormat="1" applyFont="1" applyFill="1" applyBorder="1" applyAlignment="1">
      <alignment horizontal="center" vertical="center"/>
    </xf>
    <xf numFmtId="0" fontId="4" fillId="4" borderId="0" xfId="0" applyNumberFormat="1" applyFont="1" applyFill="1" applyAlignment="1">
      <alignment horizontal="center" vertical="center"/>
    </xf>
    <xf numFmtId="0" fontId="4" fillId="0" borderId="18" xfId="1" applyNumberFormat="1" applyFont="1" applyBorder="1" applyAlignment="1">
      <alignment horizontal="center" vertical="center"/>
    </xf>
    <xf numFmtId="0" fontId="4" fillId="0" borderId="19" xfId="1" applyNumberFormat="1" applyFont="1" applyBorder="1" applyAlignment="1">
      <alignment horizontal="center" vertical="center"/>
    </xf>
    <xf numFmtId="0" fontId="4" fillId="0" borderId="20" xfId="1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 textRotation="255"/>
    </xf>
    <xf numFmtId="0" fontId="4" fillId="0" borderId="21" xfId="0" applyNumberFormat="1" applyFont="1" applyBorder="1" applyAlignment="1">
      <alignment horizontal="center" vertical="center" textRotation="255"/>
    </xf>
    <xf numFmtId="0" fontId="4" fillId="0" borderId="22" xfId="0" applyNumberFormat="1" applyFont="1" applyBorder="1" applyAlignment="1">
      <alignment horizontal="center" vertical="center" textRotation="255"/>
    </xf>
    <xf numFmtId="0" fontId="4" fillId="0" borderId="23" xfId="0" applyNumberFormat="1" applyFont="1" applyBorder="1" applyAlignment="1">
      <alignment horizontal="center" vertical="center" textRotation="255" wrapText="1"/>
    </xf>
    <xf numFmtId="0" fontId="4" fillId="0" borderId="21" xfId="0" applyNumberFormat="1" applyFont="1" applyBorder="1" applyAlignment="1">
      <alignment horizontal="center" vertical="center" textRotation="255" wrapText="1"/>
    </xf>
    <xf numFmtId="0" fontId="4" fillId="0" borderId="22" xfId="0" applyNumberFormat="1" applyFont="1" applyBorder="1" applyAlignment="1">
      <alignment horizontal="center" vertical="center" textRotation="255" wrapText="1"/>
    </xf>
    <xf numFmtId="0" fontId="3" fillId="0" borderId="23" xfId="0" applyNumberFormat="1" applyFont="1" applyBorder="1" applyAlignment="1">
      <alignment horizontal="center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24" xfId="0" applyNumberFormat="1" applyFont="1" applyBorder="1" applyAlignment="1">
      <alignment horizontal="center" vertical="center"/>
    </xf>
    <xf numFmtId="0" fontId="3" fillId="0" borderId="21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3" fillId="0" borderId="25" xfId="0" applyNumberFormat="1" applyFont="1" applyBorder="1" applyAlignment="1">
      <alignment horizontal="center" vertical="center"/>
    </xf>
    <xf numFmtId="0" fontId="3" fillId="0" borderId="22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26" xfId="0" applyNumberFormat="1" applyFont="1" applyBorder="1" applyAlignment="1">
      <alignment horizontal="center" vertical="center"/>
    </xf>
    <xf numFmtId="180" fontId="4" fillId="0" borderId="0" xfId="0" applyNumberFormat="1" applyFont="1" applyAlignment="1">
      <alignment horizontal="center" vertical="center"/>
    </xf>
    <xf numFmtId="0" fontId="11" fillId="0" borderId="0" xfId="0" quotePrefix="1" applyNumberFormat="1" applyFont="1">
      <alignment vertical="center"/>
    </xf>
    <xf numFmtId="0" fontId="11" fillId="0" borderId="0" xfId="0" applyNumberFormat="1" applyFont="1">
      <alignment vertical="center"/>
    </xf>
    <xf numFmtId="176" fontId="3" fillId="0" borderId="0" xfId="0" applyNumberFormat="1" applyFont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616324</xdr:colOff>
      <xdr:row>57</xdr:row>
      <xdr:rowOff>145677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87500" cy="97267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260985</xdr:colOff>
      <xdr:row>118</xdr:row>
      <xdr:rowOff>89535</xdr:rowOff>
    </xdr:from>
    <xdr:to>
      <xdr:col>21</xdr:col>
      <xdr:colOff>100916</xdr:colOff>
      <xdr:row>134</xdr:row>
      <xdr:rowOff>161925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337" t="5202" r="5687" b="2081"/>
        <a:stretch/>
      </xdr:blipFill>
      <xdr:spPr>
        <a:xfrm>
          <a:off x="3689985" y="20320635"/>
          <a:ext cx="2411681" cy="281559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</xdr:colOff>
      <xdr:row>282</xdr:row>
      <xdr:rowOff>133036</xdr:rowOff>
    </xdr:from>
    <xdr:to>
      <xdr:col>11</xdr:col>
      <xdr:colOff>119555</xdr:colOff>
      <xdr:row>292</xdr:row>
      <xdr:rowOff>137316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8" t="5079" r="5395" b="3480"/>
        <a:stretch/>
      </xdr:blipFill>
      <xdr:spPr>
        <a:xfrm>
          <a:off x="300989" y="49072486"/>
          <a:ext cx="2994661" cy="171878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</xdr:row>
      <xdr:rowOff>96326</xdr:rowOff>
    </xdr:from>
    <xdr:to>
      <xdr:col>12</xdr:col>
      <xdr:colOff>174479</xdr:colOff>
      <xdr:row>16</xdr:row>
      <xdr:rowOff>104775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46" t="1747" r="5256" b="11838"/>
        <a:stretch/>
      </xdr:blipFill>
      <xdr:spPr>
        <a:xfrm>
          <a:off x="30480" y="782126"/>
          <a:ext cx="3605844" cy="2065849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</xdr:colOff>
      <xdr:row>59</xdr:row>
      <xdr:rowOff>9417</xdr:rowOff>
    </xdr:from>
    <xdr:to>
      <xdr:col>13</xdr:col>
      <xdr:colOff>91285</xdr:colOff>
      <xdr:row>73</xdr:row>
      <xdr:rowOff>28575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06" t="4278" r="3833" b="7912"/>
        <a:stretch/>
      </xdr:blipFill>
      <xdr:spPr>
        <a:xfrm>
          <a:off x="60959" y="10124967"/>
          <a:ext cx="3777921" cy="2419458"/>
        </a:xfrm>
        <a:prstGeom prst="rect">
          <a:avLst/>
        </a:prstGeom>
      </xdr:spPr>
    </xdr:pic>
    <xdr:clientData/>
  </xdr:twoCellAnchor>
  <xdr:twoCellAnchor editAs="oneCell">
    <xdr:from>
      <xdr:col>1</xdr:col>
      <xdr:colOff>36338</xdr:colOff>
      <xdr:row>88</xdr:row>
      <xdr:rowOff>58909</xdr:rowOff>
    </xdr:from>
    <xdr:to>
      <xdr:col>12</xdr:col>
      <xdr:colOff>234445</xdr:colOff>
      <xdr:row>100</xdr:row>
      <xdr:rowOff>165589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2088" y="14888601"/>
          <a:ext cx="3374202" cy="2128911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120</xdr:row>
      <xdr:rowOff>81915</xdr:rowOff>
    </xdr:from>
    <xdr:to>
      <xdr:col>9</xdr:col>
      <xdr:colOff>170604</xdr:colOff>
      <xdr:row>130</xdr:row>
      <xdr:rowOff>114300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825" t="5574" r="8899" b="10428"/>
        <a:stretch/>
      </xdr:blipFill>
      <xdr:spPr>
        <a:xfrm>
          <a:off x="167640" y="20655915"/>
          <a:ext cx="2574714" cy="1746885"/>
        </a:xfrm>
        <a:prstGeom prst="rect">
          <a:avLst/>
        </a:prstGeom>
      </xdr:spPr>
    </xdr:pic>
    <xdr:clientData/>
  </xdr:twoCellAnchor>
  <xdr:twoCellAnchor>
    <xdr:from>
      <xdr:col>31</xdr:col>
      <xdr:colOff>198120</xdr:colOff>
      <xdr:row>6</xdr:row>
      <xdr:rowOff>121921</xdr:rowOff>
    </xdr:from>
    <xdr:to>
      <xdr:col>32</xdr:col>
      <xdr:colOff>243840</xdr:colOff>
      <xdr:row>8</xdr:row>
      <xdr:rowOff>114301</xdr:rowOff>
    </xdr:to>
    <xdr:sp macro="" textlink="">
      <xdr:nvSpPr>
        <xdr:cNvPr id="5" name="テキスト ボックス 4"/>
        <xdr:cNvSpPr txBox="1"/>
      </xdr:nvSpPr>
      <xdr:spPr>
        <a:xfrm rot="10800000" flipV="1">
          <a:off x="8580120" y="1127761"/>
          <a:ext cx="655320" cy="327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381836</xdr:colOff>
      <xdr:row>57</xdr:row>
      <xdr:rowOff>63398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6381" cy="99347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107674</xdr:colOff>
      <xdr:row>96</xdr:row>
      <xdr:rowOff>40037</xdr:rowOff>
    </xdr:from>
    <xdr:to>
      <xdr:col>9</xdr:col>
      <xdr:colOff>165457</xdr:colOff>
      <xdr:row>103</xdr:row>
      <xdr:rowOff>114714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807" t="5290" r="3982" b="63690"/>
        <a:stretch/>
      </xdr:blipFill>
      <xdr:spPr>
        <a:xfrm>
          <a:off x="687457" y="15959211"/>
          <a:ext cx="2087022" cy="12342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31748</xdr:colOff>
      <xdr:row>310</xdr:row>
      <xdr:rowOff>100402</xdr:rowOff>
    </xdr:from>
    <xdr:to>
      <xdr:col>15</xdr:col>
      <xdr:colOff>215047</xdr:colOff>
      <xdr:row>325</xdr:row>
      <xdr:rowOff>16565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961" t="7600" r="8381" b="6293"/>
        <a:stretch/>
      </xdr:blipFill>
      <xdr:spPr>
        <a:xfrm>
          <a:off x="901422" y="55395098"/>
          <a:ext cx="3661995" cy="2400946"/>
        </a:xfrm>
        <a:prstGeom prst="rect">
          <a:avLst/>
        </a:prstGeom>
      </xdr:spPr>
    </xdr:pic>
    <xdr:clientData/>
  </xdr:twoCellAnchor>
  <xdr:twoCellAnchor editAs="oneCell">
    <xdr:from>
      <xdr:col>1</xdr:col>
      <xdr:colOff>40725</xdr:colOff>
      <xdr:row>555</xdr:row>
      <xdr:rowOff>15876</xdr:rowOff>
    </xdr:from>
    <xdr:to>
      <xdr:col>10</xdr:col>
      <xdr:colOff>240197</xdr:colOff>
      <xdr:row>566</xdr:row>
      <xdr:rowOff>87018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958" t="3168" r="9912" b="4965"/>
        <a:stretch/>
      </xdr:blipFill>
      <xdr:spPr>
        <a:xfrm>
          <a:off x="330616" y="91985963"/>
          <a:ext cx="2808494" cy="1893316"/>
        </a:xfrm>
        <a:prstGeom prst="rect">
          <a:avLst/>
        </a:prstGeom>
      </xdr:spPr>
    </xdr:pic>
    <xdr:clientData/>
  </xdr:twoCellAnchor>
  <xdr:twoCellAnchor editAs="oneCell">
    <xdr:from>
      <xdr:col>12</xdr:col>
      <xdr:colOff>99389</xdr:colOff>
      <xdr:row>555</xdr:row>
      <xdr:rowOff>15875</xdr:rowOff>
    </xdr:from>
    <xdr:to>
      <xdr:col>19</xdr:col>
      <xdr:colOff>133203</xdr:colOff>
      <xdr:row>566</xdr:row>
      <xdr:rowOff>102347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3164" t="5607" r="11223" b="3198"/>
        <a:stretch/>
      </xdr:blipFill>
      <xdr:spPr>
        <a:xfrm>
          <a:off x="3578085" y="98968201"/>
          <a:ext cx="2063053" cy="1908646"/>
        </a:xfrm>
        <a:prstGeom prst="rect">
          <a:avLst/>
        </a:prstGeom>
      </xdr:spPr>
    </xdr:pic>
    <xdr:clientData/>
  </xdr:twoCellAnchor>
  <xdr:twoCellAnchor editAs="oneCell">
    <xdr:from>
      <xdr:col>1</xdr:col>
      <xdr:colOff>269967</xdr:colOff>
      <xdr:row>210</xdr:row>
      <xdr:rowOff>25430</xdr:rowOff>
    </xdr:from>
    <xdr:to>
      <xdr:col>13</xdr:col>
      <xdr:colOff>169559</xdr:colOff>
      <xdr:row>223</xdr:row>
      <xdr:rowOff>124240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91" t="4079" r="1607" b="6469"/>
        <a:stretch/>
      </xdr:blipFill>
      <xdr:spPr>
        <a:xfrm>
          <a:off x="559858" y="34845517"/>
          <a:ext cx="3378288" cy="2252288"/>
        </a:xfrm>
        <a:prstGeom prst="rect">
          <a:avLst/>
        </a:prstGeom>
      </xdr:spPr>
    </xdr:pic>
    <xdr:clientData/>
  </xdr:twoCellAnchor>
  <xdr:twoCellAnchor editAs="oneCell">
    <xdr:from>
      <xdr:col>14</xdr:col>
      <xdr:colOff>49352</xdr:colOff>
      <xdr:row>210</xdr:row>
      <xdr:rowOff>7937</xdr:rowOff>
    </xdr:from>
    <xdr:to>
      <xdr:col>23</xdr:col>
      <xdr:colOff>149066</xdr:colOff>
      <xdr:row>225</xdr:row>
      <xdr:rowOff>40910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022" t="2930" r="4480" b="4424"/>
        <a:stretch/>
      </xdr:blipFill>
      <xdr:spPr>
        <a:xfrm>
          <a:off x="4107830" y="34828024"/>
          <a:ext cx="2708736" cy="2517756"/>
        </a:xfrm>
        <a:prstGeom prst="rect">
          <a:avLst/>
        </a:prstGeom>
      </xdr:spPr>
    </xdr:pic>
    <xdr:clientData/>
  </xdr:twoCellAnchor>
  <xdr:twoCellAnchor editAs="oneCell">
    <xdr:from>
      <xdr:col>13</xdr:col>
      <xdr:colOff>73853</xdr:colOff>
      <xdr:row>262</xdr:row>
      <xdr:rowOff>15875</xdr:rowOff>
    </xdr:from>
    <xdr:to>
      <xdr:col>22</xdr:col>
      <xdr:colOff>9930</xdr:colOff>
      <xdr:row>276</xdr:row>
      <xdr:rowOff>49696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022" t="2930" r="4480" b="4424"/>
        <a:stretch/>
      </xdr:blipFill>
      <xdr:spPr>
        <a:xfrm>
          <a:off x="3842440" y="46265962"/>
          <a:ext cx="2545099" cy="2352951"/>
        </a:xfrm>
        <a:prstGeom prst="rect">
          <a:avLst/>
        </a:prstGeom>
      </xdr:spPr>
    </xdr:pic>
    <xdr:clientData/>
  </xdr:twoCellAnchor>
  <xdr:twoCellAnchor editAs="oneCell">
    <xdr:from>
      <xdr:col>1</xdr:col>
      <xdr:colOff>64535</xdr:colOff>
      <xdr:row>262</xdr:row>
      <xdr:rowOff>31750</xdr:rowOff>
    </xdr:from>
    <xdr:to>
      <xdr:col>11</xdr:col>
      <xdr:colOff>260045</xdr:colOff>
      <xdr:row>274</xdr:row>
      <xdr:rowOff>33145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53" t="6843" r="4110" b="6634"/>
        <a:stretch/>
      </xdr:blipFill>
      <xdr:spPr>
        <a:xfrm>
          <a:off x="354426" y="46281837"/>
          <a:ext cx="3094423" cy="198922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403</xdr:row>
      <xdr:rowOff>9178</xdr:rowOff>
    </xdr:from>
    <xdr:to>
      <xdr:col>16</xdr:col>
      <xdr:colOff>0</xdr:colOff>
      <xdr:row>418</xdr:row>
      <xdr:rowOff>145036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72" t="3560" r="8103" b="9966"/>
        <a:stretch/>
      </xdr:blipFill>
      <xdr:spPr>
        <a:xfrm>
          <a:off x="515938" y="69549616"/>
          <a:ext cx="3675062" cy="251193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23814</xdr:colOff>
      <xdr:row>458</xdr:row>
      <xdr:rowOff>26655</xdr:rowOff>
    </xdr:from>
    <xdr:to>
      <xdr:col>15</xdr:col>
      <xdr:colOff>223630</xdr:colOff>
      <xdr:row>473</xdr:row>
      <xdr:rowOff>101719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513" t="6893" r="9494" b="7477"/>
        <a:stretch/>
      </xdr:blipFill>
      <xdr:spPr>
        <a:xfrm>
          <a:off x="603597" y="79672220"/>
          <a:ext cx="3968403" cy="2559847"/>
        </a:xfrm>
        <a:prstGeom prst="rect">
          <a:avLst/>
        </a:prstGeom>
      </xdr:spPr>
    </xdr:pic>
    <xdr:clientData/>
  </xdr:twoCellAnchor>
  <xdr:twoCellAnchor editAs="oneCell">
    <xdr:from>
      <xdr:col>11</xdr:col>
      <xdr:colOff>91111</xdr:colOff>
      <xdr:row>89</xdr:row>
      <xdr:rowOff>115957</xdr:rowOff>
    </xdr:from>
    <xdr:to>
      <xdr:col>18</xdr:col>
      <xdr:colOff>148893</xdr:colOff>
      <xdr:row>103</xdr:row>
      <xdr:rowOff>84209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807" t="37656" r="3982" b="4857"/>
        <a:stretch/>
      </xdr:blipFill>
      <xdr:spPr>
        <a:xfrm>
          <a:off x="3279915" y="14875566"/>
          <a:ext cx="2087021" cy="22873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10" zoomScale="85" zoomScaleNormal="85" zoomScaleSheetLayoutView="85" zoomScalePageLayoutView="55" workbookViewId="0">
      <selection activeCell="C8" sqref="C8"/>
    </sheetView>
  </sheetViews>
  <sheetFormatPr defaultRowHeight="13.5" x14ac:dyDescent="0.15"/>
  <sheetData/>
  <phoneticPr fontId="2"/>
  <pageMargins left="0.70866141732283472" right="0.70866141732283472" top="0.74803149606299213" bottom="0.74803149606299213" header="0.31496062992125984" footer="0.31496062992125984"/>
  <pageSetup paperSize="8" orientation="landscape" r:id="rId1"/>
  <headerFooter>
    <oddFooter>&amp;C&amp;"ＭＳ Ｐゴシック,標準"&amp;10Ⅱ&amp;"Times New Roman,標準"-46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27"/>
  <sheetViews>
    <sheetView view="pageBreakPreview" topLeftCell="B276" zoomScale="145" zoomScaleNormal="100" zoomScaleSheetLayoutView="145" zoomScalePageLayoutView="85" workbookViewId="0">
      <selection activeCell="L84" sqref="L84"/>
    </sheetView>
  </sheetViews>
  <sheetFormatPr defaultRowHeight="13.5" x14ac:dyDescent="0.15"/>
  <cols>
    <col min="1" max="9" width="3.75" style="34" customWidth="1"/>
    <col min="10" max="10" width="4.25" style="34" customWidth="1"/>
    <col min="11" max="24" width="3.75" style="34" customWidth="1"/>
    <col min="25" max="25" width="6.125" style="34" bestFit="1" customWidth="1"/>
    <col min="26" max="26" width="5.75" style="34" customWidth="1"/>
    <col min="27" max="30" width="3.75" style="34" customWidth="1"/>
    <col min="31" max="16384" width="9" style="34"/>
  </cols>
  <sheetData>
    <row r="1" spans="1:22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15">
      <c r="A2" s="1" t="s">
        <v>577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x14ac:dyDescent="0.15">
      <c r="A3" s="1" t="s">
        <v>651</v>
      </c>
      <c r="B3" s="1" t="s">
        <v>652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 t="s">
        <v>0</v>
      </c>
      <c r="P5" s="1"/>
      <c r="Q5" s="1"/>
      <c r="R5" s="1"/>
      <c r="S5" s="1"/>
      <c r="T5" s="1"/>
      <c r="U5" s="1"/>
    </row>
    <row r="6" spans="1:22" x14ac:dyDescent="0.15">
      <c r="A6" s="1"/>
      <c r="L6" s="1"/>
      <c r="O6" s="1"/>
      <c r="P6" s="1" t="s">
        <v>27</v>
      </c>
      <c r="Q6" s="3" t="s">
        <v>13</v>
      </c>
      <c r="R6" s="23">
        <v>781</v>
      </c>
      <c r="S6" s="1" t="s">
        <v>1</v>
      </c>
      <c r="U6" s="1"/>
    </row>
    <row r="7" spans="1:22" x14ac:dyDescent="0.15">
      <c r="A7" s="1"/>
      <c r="L7" s="1"/>
      <c r="O7" s="1"/>
      <c r="P7" s="1"/>
      <c r="Q7" s="1"/>
      <c r="R7" s="3"/>
      <c r="S7" s="1"/>
      <c r="T7" s="1"/>
      <c r="U7" s="1"/>
    </row>
    <row r="8" spans="1:22" x14ac:dyDescent="0.15">
      <c r="A8" s="1"/>
      <c r="L8" s="1"/>
      <c r="O8" s="1" t="s">
        <v>2</v>
      </c>
      <c r="P8" s="1"/>
      <c r="Q8" s="1"/>
      <c r="R8" s="3"/>
      <c r="S8" s="1"/>
      <c r="T8" s="1"/>
      <c r="U8" s="1"/>
    </row>
    <row r="9" spans="1:22" x14ac:dyDescent="0.15">
      <c r="A9" s="1"/>
      <c r="L9" s="1"/>
      <c r="O9" s="1"/>
      <c r="P9" s="1" t="s">
        <v>28</v>
      </c>
      <c r="Q9" s="3" t="s">
        <v>13</v>
      </c>
      <c r="R9" s="23">
        <v>22</v>
      </c>
      <c r="S9" s="1" t="s">
        <v>3</v>
      </c>
      <c r="T9" s="9" t="s">
        <v>154</v>
      </c>
      <c r="U9" s="9"/>
    </row>
    <row r="10" spans="1:22" x14ac:dyDescent="0.15">
      <c r="A10" s="1"/>
      <c r="L10" s="1"/>
      <c r="O10" s="1"/>
      <c r="P10" s="1"/>
      <c r="Q10" s="1"/>
      <c r="R10" s="3"/>
      <c r="S10" s="1"/>
      <c r="T10" s="1"/>
      <c r="U10" s="1"/>
    </row>
    <row r="11" spans="1:22" x14ac:dyDescent="0.15">
      <c r="A11" s="1"/>
      <c r="L11" s="1"/>
      <c r="O11" s="1" t="s">
        <v>4</v>
      </c>
      <c r="P11" s="1"/>
      <c r="Q11" s="1"/>
      <c r="R11" s="3"/>
      <c r="S11" s="1"/>
      <c r="T11" s="1"/>
      <c r="U11" s="1"/>
    </row>
    <row r="12" spans="1:22" x14ac:dyDescent="0.15">
      <c r="A12" s="1"/>
      <c r="L12" s="1"/>
      <c r="O12" s="1"/>
      <c r="P12" s="1" t="s">
        <v>29</v>
      </c>
      <c r="Q12" s="3" t="s">
        <v>13</v>
      </c>
      <c r="R12" s="23">
        <v>310</v>
      </c>
      <c r="S12" s="1" t="s">
        <v>1</v>
      </c>
      <c r="U12" s="1"/>
    </row>
    <row r="13" spans="1:22" x14ac:dyDescent="0.15">
      <c r="A13" s="1"/>
      <c r="L13" s="1"/>
      <c r="O13" s="1"/>
      <c r="P13" s="1"/>
      <c r="Q13" s="1"/>
      <c r="R13" s="3"/>
      <c r="S13" s="1"/>
      <c r="T13" s="1"/>
      <c r="U13" s="1"/>
    </row>
    <row r="14" spans="1:22" x14ac:dyDescent="0.15">
      <c r="A14" s="1"/>
      <c r="L14" s="1"/>
      <c r="O14" s="1" t="s">
        <v>5</v>
      </c>
      <c r="P14" s="1"/>
      <c r="Q14" s="1"/>
      <c r="R14" s="3"/>
      <c r="S14" s="1"/>
      <c r="T14" s="1"/>
      <c r="U14" s="1"/>
    </row>
    <row r="15" spans="1:22" x14ac:dyDescent="0.15">
      <c r="A15" s="1"/>
      <c r="L15" s="1"/>
      <c r="O15" s="1"/>
      <c r="P15" s="1" t="s">
        <v>30</v>
      </c>
      <c r="Q15" s="3" t="s">
        <v>13</v>
      </c>
      <c r="R15" s="23">
        <v>20</v>
      </c>
      <c r="S15" s="1" t="s">
        <v>6</v>
      </c>
      <c r="U15" s="1"/>
    </row>
    <row r="16" spans="1:22" x14ac:dyDescent="0.15">
      <c r="A16" s="1"/>
      <c r="L16" s="1"/>
      <c r="O16" s="1"/>
      <c r="P16" s="1"/>
      <c r="Q16" s="1"/>
      <c r="R16" s="1"/>
      <c r="S16" s="1"/>
      <c r="T16" s="1"/>
      <c r="U16" s="1"/>
    </row>
    <row r="17" spans="1:27" x14ac:dyDescent="0.15">
      <c r="A17" s="1"/>
      <c r="L17" s="1"/>
      <c r="O17" s="1" t="s">
        <v>7</v>
      </c>
      <c r="P17" s="1"/>
      <c r="Q17" s="1"/>
      <c r="R17" s="1"/>
      <c r="S17" s="1"/>
      <c r="T17" s="1"/>
      <c r="U17" s="1"/>
    </row>
    <row r="18" spans="1:27" x14ac:dyDescent="0.15">
      <c r="A18" s="1"/>
      <c r="L18" s="1"/>
      <c r="O18" s="1"/>
      <c r="P18" s="1" t="s">
        <v>31</v>
      </c>
      <c r="Q18" s="3" t="s">
        <v>13</v>
      </c>
      <c r="R18" s="122">
        <v>900</v>
      </c>
      <c r="S18" s="122"/>
      <c r="T18" s="1" t="s">
        <v>8</v>
      </c>
      <c r="Z18" s="34">
        <f>SIN(R15*PI()/180)</f>
        <v>0.34202014332566871</v>
      </c>
      <c r="AA18" s="34" t="s">
        <v>686</v>
      </c>
    </row>
    <row r="19" spans="1:27" x14ac:dyDescent="0.15">
      <c r="A19" s="1"/>
      <c r="L19" s="1"/>
      <c r="O19" s="1"/>
      <c r="P19" s="1"/>
      <c r="Q19" s="1"/>
      <c r="R19" s="1"/>
      <c r="S19" s="1"/>
      <c r="T19" s="1"/>
      <c r="U19" s="1"/>
      <c r="Z19" s="34">
        <f>COS(R15*PI()/180)</f>
        <v>0.93969262078590843</v>
      </c>
      <c r="AA19" s="63" t="s">
        <v>687</v>
      </c>
    </row>
    <row r="20" spans="1:27" x14ac:dyDescent="0.15">
      <c r="A20" s="1"/>
      <c r="L20" s="1"/>
      <c r="O20" s="1" t="s">
        <v>10</v>
      </c>
      <c r="P20" s="1"/>
      <c r="Q20" s="1"/>
      <c r="R20" s="1"/>
      <c r="S20" s="1"/>
      <c r="T20" s="1"/>
      <c r="U20" s="1"/>
    </row>
    <row r="21" spans="1:27" x14ac:dyDescent="0.15">
      <c r="A21" s="1"/>
      <c r="L21" s="1"/>
      <c r="O21" s="1"/>
      <c r="P21" s="1" t="s">
        <v>32</v>
      </c>
      <c r="Q21" s="3" t="s">
        <v>13</v>
      </c>
      <c r="R21" s="121">
        <f>R18*Z19</f>
        <v>845.72335870731763</v>
      </c>
      <c r="S21" s="121"/>
      <c r="T21" s="1" t="s">
        <v>8</v>
      </c>
      <c r="U21" s="1"/>
    </row>
    <row r="22" spans="1:27" x14ac:dyDescent="0.15">
      <c r="A22" s="1"/>
      <c r="L22" s="1"/>
      <c r="O22" s="1"/>
      <c r="P22" s="1"/>
      <c r="Q22" s="1"/>
      <c r="R22" s="1"/>
      <c r="S22" s="1"/>
      <c r="T22" s="1"/>
      <c r="U22" s="1"/>
    </row>
    <row r="23" spans="1:27" x14ac:dyDescent="0.15">
      <c r="A23" s="1"/>
      <c r="L23" s="1"/>
      <c r="O23" s="1" t="s">
        <v>11</v>
      </c>
      <c r="P23" s="1"/>
      <c r="Q23" s="1"/>
      <c r="R23" s="1"/>
      <c r="S23" s="1"/>
      <c r="T23" s="1"/>
      <c r="U23" s="1"/>
    </row>
    <row r="24" spans="1:27" x14ac:dyDescent="0.15">
      <c r="A24" s="1"/>
      <c r="L24" s="1"/>
      <c r="O24" s="1"/>
      <c r="P24" s="1" t="s">
        <v>33</v>
      </c>
      <c r="Q24" s="3" t="s">
        <v>13</v>
      </c>
      <c r="R24" s="121">
        <f>R21*Z18</f>
        <v>289.25442435894269</v>
      </c>
      <c r="S24" s="121"/>
      <c r="T24" s="1" t="s">
        <v>8</v>
      </c>
      <c r="U24" s="1"/>
    </row>
    <row r="25" spans="1:27" x14ac:dyDescent="0.15">
      <c r="A25" s="1"/>
      <c r="L25" s="1"/>
    </row>
    <row r="26" spans="1:27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7" x14ac:dyDescent="0.15">
      <c r="A27" s="72" t="s">
        <v>653</v>
      </c>
      <c r="B27" s="72"/>
      <c r="C27" s="72" t="s">
        <v>650</v>
      </c>
      <c r="D27" s="72"/>
      <c r="E27" s="72"/>
      <c r="F27" s="7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7" x14ac:dyDescent="0.15">
      <c r="A28" s="1"/>
      <c r="B28" s="1" t="s">
        <v>23</v>
      </c>
      <c r="C28" s="3" t="s">
        <v>13</v>
      </c>
      <c r="D28" s="1" t="s">
        <v>12</v>
      </c>
      <c r="E28" s="3" t="s">
        <v>15</v>
      </c>
      <c r="F28" s="1" t="s">
        <v>151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7" x14ac:dyDescent="0.15">
      <c r="A29" s="1"/>
      <c r="B29" s="1"/>
      <c r="C29" s="3" t="s">
        <v>13</v>
      </c>
      <c r="D29" s="77">
        <f>R24*1000</f>
        <v>289254.42435894266</v>
      </c>
      <c r="E29" s="77"/>
      <c r="F29" s="25" t="s">
        <v>16</v>
      </c>
      <c r="G29" s="1">
        <f>R12</f>
        <v>310</v>
      </c>
      <c r="H29" s="1"/>
      <c r="I29" s="1"/>
      <c r="J29" s="3"/>
      <c r="K29" s="5"/>
      <c r="L29" s="25"/>
      <c r="M29" s="1"/>
      <c r="N29" s="1"/>
      <c r="O29" s="1"/>
      <c r="P29" s="3"/>
      <c r="Q29" s="5"/>
      <c r="R29" s="1"/>
      <c r="S29" s="1"/>
      <c r="T29" s="1"/>
      <c r="U29" s="1"/>
      <c r="V29" s="1"/>
    </row>
    <row r="30" spans="1:27" x14ac:dyDescent="0.15">
      <c r="A30" s="1"/>
      <c r="B30" s="1"/>
      <c r="C30" s="3" t="s">
        <v>13</v>
      </c>
      <c r="D30" s="114">
        <f>D29*G29</f>
        <v>89668871.551272228</v>
      </c>
      <c r="E30" s="114"/>
      <c r="F30" s="114"/>
      <c r="G30" s="1" t="s">
        <v>14</v>
      </c>
      <c r="H30" s="1"/>
      <c r="I30" s="1"/>
      <c r="J30" s="3"/>
      <c r="K30" s="5"/>
      <c r="L30" s="25"/>
      <c r="M30" s="1"/>
      <c r="N30" s="1"/>
      <c r="O30" s="1"/>
      <c r="P30" s="3"/>
      <c r="Q30" s="5"/>
      <c r="R30" s="1"/>
      <c r="S30" s="1"/>
      <c r="T30" s="1"/>
      <c r="U30" s="1"/>
      <c r="V30" s="1"/>
    </row>
    <row r="31" spans="1:27" x14ac:dyDescent="0.15">
      <c r="A31" s="1"/>
      <c r="B31" s="1"/>
      <c r="C31" s="3"/>
      <c r="D31" s="25"/>
      <c r="E31" s="25"/>
      <c r="F31" s="25"/>
      <c r="G31" s="1"/>
      <c r="H31" s="1"/>
      <c r="I31" s="1"/>
      <c r="J31" s="3"/>
      <c r="K31" s="5"/>
      <c r="L31" s="25"/>
      <c r="M31" s="1"/>
      <c r="N31" s="1"/>
      <c r="O31" s="1"/>
      <c r="P31" s="3"/>
      <c r="Q31" s="5"/>
      <c r="R31" s="1"/>
      <c r="S31" s="1"/>
      <c r="T31" s="1"/>
      <c r="U31" s="1"/>
      <c r="V31" s="1"/>
    </row>
    <row r="32" spans="1:27" x14ac:dyDescent="0.15">
      <c r="A32" s="72" t="s">
        <v>654</v>
      </c>
      <c r="B32" s="72"/>
      <c r="C32" s="73" t="s">
        <v>655</v>
      </c>
      <c r="D32" s="73"/>
      <c r="E32" s="73"/>
      <c r="F32" s="1"/>
      <c r="G32" s="3"/>
      <c r="H32" s="1"/>
      <c r="I32" s="1"/>
      <c r="J32" s="1"/>
      <c r="K32" s="1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15">
      <c r="A33" s="1"/>
      <c r="B33" s="1" t="s">
        <v>18</v>
      </c>
      <c r="C33" s="3" t="s">
        <v>13</v>
      </c>
      <c r="D33" s="1" t="s">
        <v>28</v>
      </c>
      <c r="E33" s="1" t="s">
        <v>16</v>
      </c>
      <c r="F33" s="1" t="s">
        <v>161</v>
      </c>
      <c r="G33" s="3" t="s">
        <v>152</v>
      </c>
      <c r="H33" s="1">
        <v>6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15">
      <c r="A34" s="1"/>
      <c r="B34" s="1"/>
      <c r="C34" s="3" t="s">
        <v>13</v>
      </c>
      <c r="D34" s="1">
        <f>R9</f>
        <v>22</v>
      </c>
      <c r="E34" s="25" t="s">
        <v>16</v>
      </c>
      <c r="F34" s="10">
        <f>R6</f>
        <v>781</v>
      </c>
      <c r="G34" s="35" t="s">
        <v>153</v>
      </c>
      <c r="H34" s="3" t="s">
        <v>34</v>
      </c>
      <c r="I34" s="3">
        <v>6</v>
      </c>
      <c r="J34" s="1"/>
      <c r="K34" s="25"/>
      <c r="L34" s="10"/>
      <c r="M34" s="35"/>
      <c r="N34" s="3"/>
      <c r="O34" s="3"/>
      <c r="P34" s="3"/>
      <c r="Q34" s="5"/>
      <c r="R34" s="1"/>
      <c r="S34" s="1"/>
      <c r="T34" s="1"/>
      <c r="U34" s="1"/>
      <c r="V34" s="1"/>
    </row>
    <row r="35" spans="1:22" x14ac:dyDescent="0.15">
      <c r="A35" s="1"/>
      <c r="B35" s="1"/>
      <c r="C35" s="3" t="s">
        <v>13</v>
      </c>
      <c r="D35" s="114">
        <f>D34*F34*F34/I34</f>
        <v>2236523.6666666665</v>
      </c>
      <c r="E35" s="114"/>
      <c r="F35" s="114"/>
      <c r="G35" s="1" t="s">
        <v>19</v>
      </c>
      <c r="H35" s="1"/>
      <c r="I35" s="3"/>
      <c r="J35" s="1"/>
      <c r="K35" s="25"/>
      <c r="L35" s="10"/>
      <c r="M35" s="35"/>
      <c r="N35" s="3"/>
      <c r="O35" s="3"/>
      <c r="P35" s="3"/>
      <c r="Q35" s="5"/>
      <c r="R35" s="1"/>
      <c r="S35" s="1"/>
      <c r="T35" s="1"/>
      <c r="U35" s="1"/>
      <c r="V35" s="1"/>
    </row>
    <row r="36" spans="1:22" x14ac:dyDescent="0.15">
      <c r="A36" s="1"/>
      <c r="B36" s="1"/>
      <c r="C36" s="3"/>
      <c r="D36" s="25"/>
      <c r="E36" s="25"/>
      <c r="F36" s="25"/>
      <c r="G36" s="1"/>
      <c r="H36" s="1"/>
      <c r="I36" s="3"/>
      <c r="J36" s="1"/>
      <c r="K36" s="25"/>
      <c r="L36" s="10"/>
      <c r="M36" s="35"/>
      <c r="N36" s="3"/>
      <c r="O36" s="3"/>
      <c r="P36" s="3"/>
      <c r="Q36" s="5"/>
      <c r="R36" s="1"/>
      <c r="S36" s="1"/>
      <c r="T36" s="1"/>
      <c r="U36" s="1"/>
      <c r="V36" s="1"/>
    </row>
    <row r="37" spans="1:22" x14ac:dyDescent="0.15">
      <c r="A37" s="72" t="s">
        <v>656</v>
      </c>
      <c r="B37" s="72"/>
      <c r="C37" s="73" t="s">
        <v>657</v>
      </c>
      <c r="D37" s="73"/>
      <c r="E37" s="3"/>
      <c r="F37" s="1"/>
      <c r="G37" s="3"/>
      <c r="H37" s="1"/>
      <c r="I37" s="1"/>
      <c r="J37" s="1"/>
      <c r="K37" s="1"/>
      <c r="L37" s="3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15">
      <c r="A38" s="1"/>
      <c r="B38" s="1" t="s">
        <v>25</v>
      </c>
      <c r="C38" s="3" t="s">
        <v>13</v>
      </c>
      <c r="D38" s="1" t="s">
        <v>28</v>
      </c>
      <c r="E38" s="1" t="s">
        <v>16</v>
      </c>
      <c r="F38" s="1" t="s">
        <v>26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15">
      <c r="A39" s="1"/>
      <c r="B39" s="1"/>
      <c r="C39" s="3" t="s">
        <v>13</v>
      </c>
      <c r="D39" s="1">
        <f>R9</f>
        <v>22</v>
      </c>
      <c r="E39" s="25" t="s">
        <v>16</v>
      </c>
      <c r="F39" s="1">
        <f>R6</f>
        <v>781</v>
      </c>
      <c r="G39" s="1"/>
      <c r="H39" s="1"/>
      <c r="I39" s="1"/>
      <c r="J39" s="3"/>
      <c r="K39" s="1"/>
      <c r="L39" s="25"/>
      <c r="M39" s="1"/>
      <c r="N39" s="1"/>
      <c r="O39" s="1"/>
      <c r="P39" s="3"/>
      <c r="Q39" s="5"/>
      <c r="R39" s="1"/>
      <c r="S39" s="1"/>
      <c r="T39" s="1"/>
      <c r="U39" s="1"/>
      <c r="V39" s="1"/>
    </row>
    <row r="40" spans="1:22" x14ac:dyDescent="0.15">
      <c r="A40" s="1"/>
      <c r="B40" s="1"/>
      <c r="C40" s="3" t="s">
        <v>13</v>
      </c>
      <c r="D40" s="114">
        <f>D39*F39</f>
        <v>17182</v>
      </c>
      <c r="E40" s="114"/>
      <c r="F40" s="1" t="s">
        <v>21</v>
      </c>
      <c r="G40" s="1"/>
      <c r="H40" s="1"/>
      <c r="I40" s="1"/>
      <c r="J40" s="3"/>
      <c r="K40" s="1"/>
      <c r="L40" s="25"/>
      <c r="M40" s="1"/>
      <c r="N40" s="1"/>
      <c r="O40" s="1"/>
      <c r="P40" s="3"/>
      <c r="Q40" s="5"/>
      <c r="R40" s="1"/>
      <c r="S40" s="1"/>
      <c r="T40" s="1"/>
      <c r="U40" s="1"/>
      <c r="V40" s="1"/>
    </row>
    <row r="41" spans="1:22" x14ac:dyDescent="0.15">
      <c r="A41" s="1"/>
      <c r="B41" s="1"/>
      <c r="C41" s="3"/>
      <c r="D41" s="25"/>
      <c r="E41" s="25"/>
      <c r="F41" s="1"/>
      <c r="G41" s="1"/>
      <c r="H41" s="1"/>
      <c r="I41" s="1"/>
      <c r="J41" s="3"/>
      <c r="K41" s="1"/>
      <c r="L41" s="25"/>
      <c r="M41" s="1"/>
      <c r="N41" s="1"/>
      <c r="O41" s="1"/>
      <c r="P41" s="3"/>
      <c r="Q41" s="5"/>
      <c r="R41" s="1"/>
      <c r="S41" s="1"/>
      <c r="T41" s="1"/>
      <c r="U41" s="1"/>
      <c r="V41" s="1"/>
    </row>
    <row r="42" spans="1:22" x14ac:dyDescent="0.15">
      <c r="A42" s="1" t="s">
        <v>17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15">
      <c r="A43" s="1"/>
      <c r="B43" s="1" t="s">
        <v>22</v>
      </c>
      <c r="C43" s="3" t="s">
        <v>13</v>
      </c>
      <c r="D43" s="3" t="s">
        <v>23</v>
      </c>
      <c r="E43" s="3" t="s">
        <v>152</v>
      </c>
      <c r="F43" s="3" t="s">
        <v>155</v>
      </c>
      <c r="G43" s="3" t="s">
        <v>38</v>
      </c>
      <c r="H43" s="3" t="s">
        <v>32</v>
      </c>
      <c r="I43" s="3" t="s">
        <v>152</v>
      </c>
      <c r="J43" s="3" t="s">
        <v>24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15">
      <c r="A44" s="1"/>
      <c r="B44" s="1"/>
      <c r="C44" s="3" t="s">
        <v>13</v>
      </c>
      <c r="D44" s="77">
        <f>D30</f>
        <v>89668871.551272228</v>
      </c>
      <c r="E44" s="77"/>
      <c r="F44" s="77"/>
      <c r="G44" s="3" t="s">
        <v>34</v>
      </c>
      <c r="H44" s="77">
        <f>D35</f>
        <v>2236523.6666666665</v>
      </c>
      <c r="I44" s="77"/>
      <c r="J44" s="77"/>
      <c r="K44" s="3" t="s">
        <v>38</v>
      </c>
      <c r="L44" s="77">
        <f>R21*1000</f>
        <v>845723.35870731762</v>
      </c>
      <c r="M44" s="77"/>
      <c r="N44" s="77"/>
      <c r="O44" s="3" t="s">
        <v>34</v>
      </c>
      <c r="P44" s="77">
        <f>D40</f>
        <v>17182</v>
      </c>
      <c r="Q44" s="77"/>
      <c r="R44" s="36"/>
      <c r="S44" s="1"/>
      <c r="T44" s="1"/>
      <c r="U44" s="1"/>
      <c r="V44" s="1"/>
    </row>
    <row r="45" spans="1:22" x14ac:dyDescent="0.15">
      <c r="A45" s="1"/>
      <c r="B45" s="1"/>
      <c r="C45" s="3" t="s">
        <v>13</v>
      </c>
      <c r="D45" s="115">
        <f>D44/H44+L44/P44</f>
        <v>89.314441449240832</v>
      </c>
      <c r="E45" s="115"/>
      <c r="F45" s="1" t="s">
        <v>35</v>
      </c>
      <c r="G45" s="1"/>
      <c r="H45" s="3" t="s">
        <v>36</v>
      </c>
      <c r="I45" s="73" t="s">
        <v>37</v>
      </c>
      <c r="J45" s="73"/>
      <c r="K45" s="3" t="s">
        <v>13</v>
      </c>
      <c r="L45" s="1">
        <v>315</v>
      </c>
      <c r="M45" s="1" t="s">
        <v>35</v>
      </c>
      <c r="N45" s="1"/>
      <c r="O45" s="1"/>
      <c r="P45" s="1"/>
      <c r="Q45" s="1"/>
      <c r="R45" s="1"/>
      <c r="S45" s="1"/>
      <c r="T45" s="3" t="str">
        <f>IF(D45&lt;=L45,"OK","NG")</f>
        <v>OK</v>
      </c>
      <c r="U45" s="1"/>
      <c r="V45" s="1"/>
    </row>
    <row r="46" spans="1:22" x14ac:dyDescent="0.15">
      <c r="A46" s="1"/>
      <c r="B46" s="1"/>
      <c r="C46" s="3"/>
      <c r="D46" s="3"/>
      <c r="E46" s="3"/>
      <c r="F46" s="1"/>
      <c r="G46" s="1"/>
      <c r="H46" s="3"/>
      <c r="I46" s="3"/>
      <c r="J46" s="3"/>
      <c r="K46" s="1"/>
      <c r="L46" s="1"/>
      <c r="M46" s="1"/>
      <c r="N46" s="1"/>
      <c r="O46" s="1"/>
      <c r="P46" s="1"/>
      <c r="Q46" s="1"/>
      <c r="R46" s="1"/>
      <c r="S46" s="1"/>
      <c r="T46" s="3"/>
      <c r="U46" s="1"/>
      <c r="V46" s="1"/>
    </row>
    <row r="47" spans="1:22" x14ac:dyDescent="0.15">
      <c r="A47" s="1"/>
      <c r="B47" s="1" t="s">
        <v>22</v>
      </c>
      <c r="C47" s="3" t="s">
        <v>13</v>
      </c>
      <c r="D47" s="3" t="s">
        <v>23</v>
      </c>
      <c r="E47" s="3" t="s">
        <v>152</v>
      </c>
      <c r="F47" s="3" t="s">
        <v>155</v>
      </c>
      <c r="G47" s="3" t="s">
        <v>39</v>
      </c>
      <c r="H47" s="3" t="s">
        <v>32</v>
      </c>
      <c r="I47" s="3" t="s">
        <v>152</v>
      </c>
      <c r="J47" s="3" t="s">
        <v>24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15">
      <c r="A48" s="1"/>
      <c r="B48" s="1"/>
      <c r="C48" s="3" t="s">
        <v>13</v>
      </c>
      <c r="D48" s="77">
        <f>D30</f>
        <v>89668871.551272228</v>
      </c>
      <c r="E48" s="77"/>
      <c r="F48" s="77"/>
      <c r="G48" s="3" t="s">
        <v>34</v>
      </c>
      <c r="H48" s="77">
        <f>D35</f>
        <v>2236523.6666666665</v>
      </c>
      <c r="I48" s="77"/>
      <c r="J48" s="77"/>
      <c r="K48" s="3" t="s">
        <v>39</v>
      </c>
      <c r="L48" s="77">
        <f>R21*1000</f>
        <v>845723.35870731762</v>
      </c>
      <c r="M48" s="77"/>
      <c r="N48" s="77"/>
      <c r="O48" s="3" t="s">
        <v>34</v>
      </c>
      <c r="P48" s="77">
        <f>D40</f>
        <v>17182</v>
      </c>
      <c r="Q48" s="77"/>
      <c r="R48" s="1"/>
      <c r="S48" s="1"/>
      <c r="T48" s="1"/>
      <c r="U48" s="1"/>
      <c r="V48" s="1"/>
    </row>
    <row r="49" spans="1:30" x14ac:dyDescent="0.15">
      <c r="A49" s="1"/>
      <c r="B49" s="1"/>
      <c r="C49" s="3" t="s">
        <v>13</v>
      </c>
      <c r="D49" s="115">
        <f>D48/H48-L48/P48</f>
        <v>-9.1285056706890515</v>
      </c>
      <c r="E49" s="115"/>
      <c r="F49" s="1" t="s">
        <v>35</v>
      </c>
      <c r="G49" s="1"/>
      <c r="H49" s="3" t="s">
        <v>36</v>
      </c>
      <c r="I49" s="73" t="s">
        <v>37</v>
      </c>
      <c r="J49" s="73"/>
      <c r="K49" s="3" t="s">
        <v>13</v>
      </c>
      <c r="L49" s="1">
        <v>315</v>
      </c>
      <c r="M49" s="1" t="s">
        <v>35</v>
      </c>
      <c r="N49" s="1"/>
      <c r="O49" s="1"/>
      <c r="P49" s="1"/>
      <c r="Q49" s="1"/>
      <c r="R49" s="1"/>
      <c r="S49" s="1"/>
      <c r="T49" s="3" t="str">
        <f>IF(D49&lt;=L49,"OK","NG")</f>
        <v>OK</v>
      </c>
      <c r="U49" s="1"/>
      <c r="V49" s="1"/>
    </row>
    <row r="50" spans="1:30" x14ac:dyDescent="0.15">
      <c r="A50" s="1"/>
      <c r="B50" s="1"/>
      <c r="C50" s="3"/>
      <c r="D50" s="3"/>
      <c r="E50" s="3"/>
      <c r="F50" s="1"/>
      <c r="G50" s="1"/>
      <c r="H50" s="3"/>
      <c r="I50" s="3"/>
      <c r="J50" s="3"/>
      <c r="K50" s="1"/>
      <c r="L50" s="1"/>
      <c r="M50" s="1"/>
      <c r="N50" s="1"/>
      <c r="O50" s="1"/>
      <c r="P50" s="1"/>
      <c r="Q50" s="1"/>
      <c r="R50" s="1"/>
      <c r="S50" s="1"/>
      <c r="T50" s="3"/>
      <c r="U50" s="1"/>
      <c r="V50" s="1"/>
    </row>
    <row r="51" spans="1:30" x14ac:dyDescent="0.15">
      <c r="A51" s="1"/>
      <c r="B51" s="1" t="s">
        <v>40</v>
      </c>
      <c r="C51" s="3" t="s">
        <v>13</v>
      </c>
      <c r="D51" s="1" t="s">
        <v>156</v>
      </c>
      <c r="E51" s="3" t="s">
        <v>152</v>
      </c>
      <c r="F51" s="3" t="s">
        <v>24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30" x14ac:dyDescent="0.15">
      <c r="A52" s="1"/>
      <c r="B52" s="1"/>
      <c r="C52" s="3" t="s">
        <v>13</v>
      </c>
      <c r="D52" s="77">
        <f>R24*1000</f>
        <v>289254.42435894266</v>
      </c>
      <c r="E52" s="77"/>
      <c r="F52" s="3" t="s">
        <v>34</v>
      </c>
      <c r="G52" s="77">
        <f>D40</f>
        <v>17182</v>
      </c>
      <c r="H52" s="7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30" x14ac:dyDescent="0.15">
      <c r="A53" s="1"/>
      <c r="B53" s="1"/>
      <c r="C53" s="3" t="s">
        <v>13</v>
      </c>
      <c r="D53" s="115">
        <f>D52/G52</f>
        <v>16.834735441679818</v>
      </c>
      <c r="E53" s="115"/>
      <c r="F53" s="1" t="s">
        <v>35</v>
      </c>
      <c r="G53" s="1"/>
      <c r="H53" s="3" t="s">
        <v>36</v>
      </c>
      <c r="I53" s="72" t="s">
        <v>41</v>
      </c>
      <c r="J53" s="72"/>
      <c r="K53" s="3" t="s">
        <v>13</v>
      </c>
      <c r="L53" s="1">
        <v>180</v>
      </c>
      <c r="M53" s="1" t="s">
        <v>35</v>
      </c>
      <c r="N53" s="1"/>
      <c r="O53" s="1"/>
      <c r="P53" s="1"/>
      <c r="Q53" s="1"/>
      <c r="R53" s="1"/>
      <c r="S53" s="1"/>
      <c r="T53" s="3" t="str">
        <f>IF(D53&lt;=L53,"OK","NG")</f>
        <v>OK</v>
      </c>
      <c r="U53" s="1"/>
      <c r="V53" s="1"/>
    </row>
    <row r="54" spans="1:30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30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30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30" x14ac:dyDescent="0.15">
      <c r="A57" s="1" t="s">
        <v>42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30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30" x14ac:dyDescent="0.15">
      <c r="A59" s="1"/>
      <c r="I59" s="1"/>
      <c r="J59" s="1"/>
      <c r="K59" s="1"/>
      <c r="L59" s="1"/>
      <c r="M59" s="1"/>
      <c r="AD59" s="1"/>
    </row>
    <row r="60" spans="1:30" x14ac:dyDescent="0.15">
      <c r="A60" s="1"/>
      <c r="I60" s="1"/>
      <c r="J60" s="1"/>
      <c r="K60" s="1"/>
      <c r="L60" s="1"/>
      <c r="M60" s="1"/>
      <c r="O60" s="1" t="s">
        <v>7</v>
      </c>
      <c r="P60" s="1"/>
      <c r="Q60" s="1"/>
      <c r="R60" s="1"/>
      <c r="S60" s="1"/>
      <c r="T60" s="1"/>
      <c r="U60" s="1"/>
    </row>
    <row r="61" spans="1:30" x14ac:dyDescent="0.15">
      <c r="A61" s="1"/>
      <c r="I61" s="1"/>
      <c r="J61" s="1"/>
      <c r="K61" s="1"/>
      <c r="L61" s="1"/>
      <c r="M61" s="1"/>
      <c r="O61" s="1"/>
      <c r="P61" s="1"/>
      <c r="Q61" s="3" t="s">
        <v>31</v>
      </c>
      <c r="R61" s="3" t="s">
        <v>13</v>
      </c>
      <c r="S61" s="84">
        <f>R18</f>
        <v>900</v>
      </c>
      <c r="T61" s="84"/>
      <c r="U61" s="1" t="s">
        <v>8</v>
      </c>
    </row>
    <row r="62" spans="1:30" x14ac:dyDescent="0.15">
      <c r="A62" s="1"/>
      <c r="I62" s="1"/>
      <c r="J62" s="1"/>
      <c r="K62" s="1"/>
      <c r="L62" s="1"/>
      <c r="M62" s="1"/>
      <c r="O62" s="1"/>
      <c r="P62" s="1"/>
      <c r="Q62" s="3"/>
      <c r="R62" s="1"/>
      <c r="S62" s="1"/>
      <c r="T62" s="1"/>
      <c r="U62" s="1"/>
    </row>
    <row r="63" spans="1:30" x14ac:dyDescent="0.15">
      <c r="A63" s="1"/>
      <c r="I63" s="1"/>
      <c r="J63" s="1"/>
      <c r="K63" s="1"/>
      <c r="L63" s="1"/>
      <c r="M63" s="1"/>
      <c r="O63" s="1" t="s">
        <v>10</v>
      </c>
      <c r="P63" s="1"/>
      <c r="Q63" s="3"/>
      <c r="R63" s="1"/>
      <c r="S63" s="1"/>
      <c r="T63" s="1"/>
      <c r="U63" s="1"/>
    </row>
    <row r="64" spans="1:30" x14ac:dyDescent="0.15">
      <c r="A64" s="1"/>
      <c r="I64" s="1"/>
      <c r="J64" s="1"/>
      <c r="K64" s="1"/>
      <c r="L64" s="1"/>
      <c r="M64" s="1"/>
      <c r="O64" s="1"/>
      <c r="P64" s="1"/>
      <c r="Q64" s="3" t="s">
        <v>32</v>
      </c>
      <c r="R64" s="3" t="s">
        <v>13</v>
      </c>
      <c r="S64" s="114">
        <f>R21</f>
        <v>845.72335870731763</v>
      </c>
      <c r="T64" s="114"/>
      <c r="U64" s="1" t="s">
        <v>8</v>
      </c>
    </row>
    <row r="65" spans="1:21" x14ac:dyDescent="0.15">
      <c r="A65" s="1"/>
      <c r="I65" s="1"/>
      <c r="J65" s="1"/>
      <c r="K65" s="1"/>
      <c r="L65" s="1"/>
      <c r="M65" s="1"/>
      <c r="O65" s="1"/>
      <c r="P65" s="1"/>
      <c r="Q65" s="3"/>
      <c r="R65" s="1"/>
      <c r="S65" s="1"/>
      <c r="T65" s="1"/>
      <c r="U65" s="1"/>
    </row>
    <row r="66" spans="1:21" x14ac:dyDescent="0.15">
      <c r="A66" s="1"/>
      <c r="I66" s="1"/>
      <c r="J66" s="1"/>
      <c r="K66" s="1"/>
      <c r="L66" s="1"/>
      <c r="M66" s="1"/>
      <c r="O66" s="1" t="s">
        <v>11</v>
      </c>
      <c r="P66" s="1"/>
      <c r="Q66" s="3"/>
      <c r="R66" s="1"/>
      <c r="S66" s="1"/>
      <c r="T66" s="1"/>
      <c r="U66" s="1"/>
    </row>
    <row r="67" spans="1:21" x14ac:dyDescent="0.15">
      <c r="A67" s="1"/>
      <c r="I67" s="1"/>
      <c r="J67" s="1"/>
      <c r="K67" s="1"/>
      <c r="L67" s="1"/>
      <c r="M67" s="1"/>
      <c r="O67" s="1"/>
      <c r="P67" s="1"/>
      <c r="Q67" s="3" t="s">
        <v>33</v>
      </c>
      <c r="R67" s="3" t="s">
        <v>13</v>
      </c>
      <c r="S67" s="59">
        <f>R24</f>
        <v>289.25442435894269</v>
      </c>
      <c r="T67" s="1" t="s">
        <v>8</v>
      </c>
      <c r="U67" s="1"/>
    </row>
    <row r="68" spans="1:21" x14ac:dyDescent="0.15">
      <c r="A68" s="1"/>
      <c r="I68" s="1"/>
      <c r="J68" s="1"/>
      <c r="K68" s="1"/>
      <c r="L68" s="1"/>
      <c r="M68" s="1"/>
      <c r="O68" s="1"/>
      <c r="P68" s="1"/>
      <c r="Q68" s="3"/>
      <c r="R68" s="3"/>
      <c r="S68" s="1"/>
      <c r="T68" s="1"/>
      <c r="U68" s="1"/>
    </row>
    <row r="69" spans="1:21" x14ac:dyDescent="0.15">
      <c r="A69" s="1"/>
      <c r="I69" s="1"/>
      <c r="J69" s="1"/>
      <c r="K69" s="1"/>
      <c r="L69" s="1"/>
      <c r="M69" s="1"/>
      <c r="O69" s="1" t="s">
        <v>43</v>
      </c>
      <c r="P69" s="1"/>
      <c r="Q69" s="3"/>
      <c r="R69" s="1"/>
      <c r="S69" s="1"/>
      <c r="T69" s="1"/>
      <c r="U69" s="1"/>
    </row>
    <row r="70" spans="1:21" x14ac:dyDescent="0.15">
      <c r="A70" s="1"/>
      <c r="I70" s="1"/>
      <c r="J70" s="1"/>
      <c r="K70" s="1"/>
      <c r="L70" s="1"/>
      <c r="M70" s="1"/>
      <c r="O70" s="1"/>
      <c r="P70" s="1"/>
      <c r="Q70" s="3" t="s">
        <v>27</v>
      </c>
      <c r="R70" s="3" t="s">
        <v>13</v>
      </c>
      <c r="S70" s="23">
        <v>781</v>
      </c>
      <c r="T70" s="1" t="s">
        <v>49</v>
      </c>
      <c r="U70" s="1"/>
    </row>
    <row r="71" spans="1:21" x14ac:dyDescent="0.15">
      <c r="A71" s="1"/>
      <c r="I71" s="1"/>
      <c r="J71" s="1"/>
      <c r="K71" s="1"/>
      <c r="L71" s="1"/>
      <c r="M71" s="1"/>
      <c r="O71" s="1"/>
      <c r="P71" s="1"/>
      <c r="Q71" s="3"/>
      <c r="R71" s="1"/>
      <c r="S71" s="1"/>
      <c r="T71" s="1"/>
      <c r="U71" s="1"/>
    </row>
    <row r="72" spans="1:21" x14ac:dyDescent="0.15">
      <c r="A72" s="1"/>
      <c r="I72" s="1"/>
      <c r="J72" s="1"/>
      <c r="K72" s="1"/>
      <c r="L72" s="1"/>
      <c r="M72" s="1"/>
      <c r="O72" s="1" t="s">
        <v>44</v>
      </c>
      <c r="P72" s="1"/>
      <c r="Q72" s="3"/>
      <c r="R72" s="1"/>
      <c r="S72" s="1"/>
      <c r="T72" s="1"/>
      <c r="U72" s="1"/>
    </row>
    <row r="73" spans="1:21" x14ac:dyDescent="0.15">
      <c r="A73" s="1"/>
      <c r="I73" s="1"/>
      <c r="J73" s="1"/>
      <c r="K73" s="1"/>
      <c r="L73" s="1"/>
      <c r="M73" s="1"/>
      <c r="O73" s="1"/>
      <c r="P73" s="1"/>
      <c r="Q73" s="3" t="s">
        <v>28</v>
      </c>
      <c r="R73" s="3" t="s">
        <v>13</v>
      </c>
      <c r="S73" s="23">
        <v>32</v>
      </c>
      <c r="T73" s="1" t="s">
        <v>49</v>
      </c>
      <c r="U73" s="1"/>
    </row>
    <row r="74" spans="1:21" x14ac:dyDescent="0.15">
      <c r="A74" s="1"/>
      <c r="I74" s="1"/>
      <c r="J74" s="1"/>
      <c r="K74" s="1"/>
      <c r="L74" s="1"/>
      <c r="M74" s="1"/>
      <c r="O74" s="1"/>
      <c r="P74" s="1"/>
      <c r="Q74" s="3"/>
      <c r="R74" s="1"/>
      <c r="S74" s="1"/>
      <c r="T74" s="1"/>
      <c r="U74" s="1"/>
    </row>
    <row r="75" spans="1:21" x14ac:dyDescent="0.15">
      <c r="A75" s="1"/>
      <c r="I75" s="1"/>
      <c r="J75" s="1"/>
      <c r="K75" s="1"/>
      <c r="L75" s="1"/>
      <c r="M75" s="1"/>
      <c r="O75" s="1" t="s">
        <v>4</v>
      </c>
      <c r="P75" s="1"/>
      <c r="Q75" s="3"/>
      <c r="R75" s="1"/>
      <c r="S75" s="1"/>
      <c r="T75" s="1"/>
      <c r="U75" s="1"/>
    </row>
    <row r="76" spans="1:21" x14ac:dyDescent="0.15">
      <c r="A76" s="1"/>
      <c r="I76" s="1"/>
      <c r="J76" s="1"/>
      <c r="K76" s="1"/>
      <c r="L76" s="1"/>
      <c r="M76" s="1"/>
      <c r="O76" s="1"/>
      <c r="P76" s="1"/>
      <c r="Q76" s="3" t="s">
        <v>29</v>
      </c>
      <c r="R76" s="3" t="s">
        <v>13</v>
      </c>
      <c r="S76" s="23">
        <v>310</v>
      </c>
      <c r="T76" s="1" t="s">
        <v>49</v>
      </c>
      <c r="U76" s="1"/>
    </row>
    <row r="77" spans="1:21" x14ac:dyDescent="0.15">
      <c r="A77" s="1"/>
      <c r="I77" s="1"/>
      <c r="J77" s="1"/>
      <c r="K77" s="1"/>
      <c r="L77" s="1"/>
      <c r="M77" s="1"/>
      <c r="O77" s="1"/>
      <c r="P77" s="1"/>
      <c r="Q77" s="3"/>
      <c r="R77" s="1"/>
      <c r="S77" s="1"/>
      <c r="T77" s="1"/>
      <c r="U77" s="1"/>
    </row>
    <row r="78" spans="1:21" x14ac:dyDescent="0.15">
      <c r="A78" s="1"/>
      <c r="I78" s="1"/>
      <c r="J78" s="1"/>
      <c r="K78" s="1"/>
      <c r="L78" s="1"/>
      <c r="M78" s="1"/>
      <c r="O78" s="1" t="s">
        <v>45</v>
      </c>
      <c r="P78" s="1"/>
      <c r="Q78" s="3"/>
      <c r="R78" s="1"/>
      <c r="S78" s="1"/>
      <c r="T78" s="1"/>
      <c r="U78" s="1"/>
    </row>
    <row r="79" spans="1:21" x14ac:dyDescent="0.15">
      <c r="A79" s="1"/>
      <c r="I79" s="1"/>
      <c r="J79" s="1"/>
      <c r="K79" s="1"/>
      <c r="L79" s="1"/>
      <c r="M79" s="1"/>
      <c r="O79" s="1"/>
      <c r="P79" s="1"/>
      <c r="Q79" s="3" t="s">
        <v>47</v>
      </c>
      <c r="R79" s="3" t="s">
        <v>13</v>
      </c>
      <c r="S79" s="23">
        <v>395</v>
      </c>
      <c r="T79" s="1" t="s">
        <v>49</v>
      </c>
      <c r="U79" s="1"/>
    </row>
    <row r="80" spans="1:21" x14ac:dyDescent="0.15">
      <c r="A80" s="1"/>
      <c r="I80" s="1"/>
      <c r="J80" s="1"/>
      <c r="K80" s="1"/>
      <c r="L80" s="1"/>
      <c r="M80" s="1"/>
      <c r="O80" s="1"/>
      <c r="P80" s="1"/>
      <c r="Q80" s="3"/>
      <c r="R80" s="1"/>
      <c r="S80" s="1"/>
      <c r="T80" s="1"/>
      <c r="U80" s="1"/>
    </row>
    <row r="81" spans="1:34" x14ac:dyDescent="0.15">
      <c r="A81" s="1"/>
      <c r="I81" s="1"/>
      <c r="J81" s="1"/>
      <c r="K81" s="1"/>
      <c r="L81" s="1"/>
      <c r="M81" s="1"/>
      <c r="O81" s="1" t="s">
        <v>46</v>
      </c>
      <c r="P81" s="1"/>
      <c r="Q81" s="3"/>
      <c r="R81" s="1"/>
      <c r="S81" s="1"/>
      <c r="T81" s="1"/>
      <c r="U81" s="1"/>
    </row>
    <row r="82" spans="1:34" x14ac:dyDescent="0.15">
      <c r="A82" s="1"/>
      <c r="B82" s="1"/>
      <c r="C82" s="1"/>
      <c r="D82" s="3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3" t="s">
        <v>48</v>
      </c>
      <c r="R82" s="3" t="s">
        <v>13</v>
      </c>
      <c r="S82" s="37">
        <v>220</v>
      </c>
      <c r="T82" s="1" t="s">
        <v>49</v>
      </c>
      <c r="U82" s="1"/>
    </row>
    <row r="83" spans="1:34" x14ac:dyDescent="0.15">
      <c r="A83" s="1" t="s">
        <v>157</v>
      </c>
      <c r="B83" s="1"/>
      <c r="C83" s="1"/>
      <c r="D83" s="3"/>
      <c r="E83" s="3"/>
      <c r="F83" s="10"/>
      <c r="G83" s="3"/>
      <c r="H83" s="3"/>
      <c r="I83" s="3"/>
      <c r="J83" s="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34" x14ac:dyDescent="0.15">
      <c r="A84" s="1" t="s">
        <v>50</v>
      </c>
      <c r="B84" s="1"/>
      <c r="C84" s="1"/>
      <c r="D84" s="1"/>
      <c r="E84" s="1"/>
      <c r="F84" s="3" t="s">
        <v>52</v>
      </c>
      <c r="G84" s="3" t="s">
        <v>13</v>
      </c>
      <c r="H84" s="23">
        <v>816.7</v>
      </c>
      <c r="I84" s="1" t="s">
        <v>55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34" x14ac:dyDescent="0.15">
      <c r="A85" s="1" t="s">
        <v>51</v>
      </c>
      <c r="B85" s="1"/>
      <c r="C85" s="1"/>
      <c r="D85" s="3" t="s">
        <v>53</v>
      </c>
      <c r="E85" s="3" t="s">
        <v>13</v>
      </c>
      <c r="F85" s="23">
        <v>55</v>
      </c>
      <c r="G85" s="38" t="s">
        <v>576</v>
      </c>
      <c r="H85" s="58"/>
      <c r="I85" s="209" t="s">
        <v>684</v>
      </c>
      <c r="J85" s="59"/>
      <c r="K85" s="59"/>
      <c r="M85" s="39"/>
      <c r="N85" s="39"/>
      <c r="O85" s="39"/>
      <c r="P85" s="39"/>
      <c r="Q85" s="39"/>
      <c r="R85" s="39"/>
      <c r="S85" s="39"/>
      <c r="T85" s="39"/>
      <c r="U85" s="39"/>
      <c r="V85" s="39"/>
    </row>
    <row r="86" spans="1:34" x14ac:dyDescent="0.15">
      <c r="A86" s="1"/>
      <c r="B86" s="1"/>
      <c r="C86" s="1"/>
      <c r="D86" s="1"/>
      <c r="E86" s="3"/>
      <c r="F86" s="1"/>
      <c r="G86" s="1"/>
      <c r="H86" s="1"/>
      <c r="I86" s="208" t="s">
        <v>690</v>
      </c>
      <c r="J86" s="1"/>
      <c r="K86" s="2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34" x14ac:dyDescent="0.15">
      <c r="A87" s="1"/>
      <c r="B87" s="1" t="s">
        <v>56</v>
      </c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1"/>
      <c r="P87" s="1"/>
      <c r="Q87" s="1"/>
      <c r="R87" s="1"/>
      <c r="S87" s="1"/>
      <c r="T87" s="1"/>
      <c r="U87" s="1"/>
      <c r="V87" s="1"/>
    </row>
    <row r="88" spans="1:34" x14ac:dyDescent="0.15">
      <c r="A88" s="1"/>
      <c r="B88" s="1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1"/>
      <c r="P88" s="1"/>
      <c r="Q88" s="1"/>
      <c r="R88" s="1"/>
      <c r="S88" s="1"/>
      <c r="T88" s="1"/>
      <c r="U88" s="1"/>
      <c r="V88" s="1"/>
    </row>
    <row r="89" spans="1:34" x14ac:dyDescent="0.15">
      <c r="A89" s="1"/>
      <c r="B89" s="1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1"/>
      <c r="P89" s="1"/>
      <c r="Q89" s="1"/>
      <c r="R89" s="1"/>
      <c r="S89" s="1"/>
      <c r="T89" s="1"/>
      <c r="U89" s="1"/>
      <c r="V89" s="1"/>
    </row>
    <row r="90" spans="1:34" x14ac:dyDescent="0.15">
      <c r="A90" s="1"/>
      <c r="B90" s="1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4" x14ac:dyDescent="0.15">
      <c r="A91" s="1"/>
      <c r="B91" s="1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O91" s="3" t="s">
        <v>59</v>
      </c>
      <c r="P91" s="3" t="s">
        <v>13</v>
      </c>
      <c r="Q91" s="1" t="s">
        <v>32</v>
      </c>
      <c r="R91" s="3" t="s">
        <v>147</v>
      </c>
      <c r="S91" s="1" t="s">
        <v>148</v>
      </c>
      <c r="T91" s="1"/>
      <c r="U91" s="1"/>
      <c r="V91" s="1"/>
      <c r="AC91" s="1"/>
      <c r="AD91" s="1"/>
      <c r="AE91" s="1"/>
      <c r="AF91" s="1"/>
      <c r="AG91" s="40">
        <f>SIN(F85*PI()/180)</f>
        <v>0.8191520442889918</v>
      </c>
      <c r="AH91" s="34" t="s">
        <v>97</v>
      </c>
    </row>
    <row r="92" spans="1:34" x14ac:dyDescent="0.15">
      <c r="A92" s="1"/>
      <c r="B92" s="1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O92" s="3"/>
      <c r="P92" s="3" t="s">
        <v>13</v>
      </c>
      <c r="Q92" s="109">
        <f>S64</f>
        <v>845.72335870731763</v>
      </c>
      <c r="R92" s="109"/>
      <c r="S92" s="3" t="s">
        <v>60</v>
      </c>
      <c r="T92" s="1" t="s">
        <v>671</v>
      </c>
      <c r="U92" s="1">
        <f>F85</f>
        <v>55</v>
      </c>
      <c r="V92" s="1" t="str">
        <f>G85</f>
        <v>°</v>
      </c>
      <c r="AC92" s="1"/>
      <c r="AD92" s="1"/>
      <c r="AE92" s="1"/>
      <c r="AF92" s="1"/>
      <c r="AG92" s="34">
        <f>COS(F85*PI()/180)</f>
        <v>0.57357643635104616</v>
      </c>
      <c r="AH92" s="34" t="s">
        <v>98</v>
      </c>
    </row>
    <row r="93" spans="1:34" x14ac:dyDescent="0.15">
      <c r="A93" s="1"/>
      <c r="B93" s="1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O93" s="3"/>
      <c r="P93" s="3" t="s">
        <v>13</v>
      </c>
      <c r="Q93" s="110">
        <f>ROUNDUP(Q92*AG91,1)</f>
        <v>692.80000000000007</v>
      </c>
      <c r="R93" s="110"/>
      <c r="S93" s="1" t="s">
        <v>8</v>
      </c>
      <c r="T93" s="1"/>
      <c r="U93" s="1"/>
      <c r="V93" s="1"/>
      <c r="AC93" s="1"/>
      <c r="AD93" s="1"/>
      <c r="AE93" s="1"/>
      <c r="AF93" s="1"/>
    </row>
    <row r="94" spans="1:34" x14ac:dyDescent="0.15">
      <c r="A94" s="1"/>
      <c r="B94" s="1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O94" s="3"/>
      <c r="P94" s="1"/>
      <c r="Q94" s="1"/>
      <c r="R94" s="1"/>
      <c r="S94" s="1"/>
      <c r="T94" s="1"/>
      <c r="U94" s="1"/>
      <c r="V94" s="1"/>
      <c r="AC94" s="1"/>
      <c r="AD94" s="1"/>
      <c r="AE94" s="1"/>
      <c r="AF94" s="1"/>
    </row>
    <row r="95" spans="1:34" x14ac:dyDescent="0.15">
      <c r="A95" s="1"/>
      <c r="B95" s="1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O95" s="3"/>
      <c r="P95" s="1"/>
      <c r="Q95" s="1"/>
      <c r="R95" s="1"/>
      <c r="S95" s="1"/>
      <c r="T95" s="1"/>
      <c r="U95" s="1"/>
      <c r="V95" s="1"/>
      <c r="AC95" s="1"/>
      <c r="AD95" s="1"/>
      <c r="AE95" s="1"/>
      <c r="AF95" s="1"/>
    </row>
    <row r="96" spans="1:34" x14ac:dyDescent="0.15">
      <c r="A96" s="1"/>
      <c r="B96" s="1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O96" s="3" t="s">
        <v>61</v>
      </c>
      <c r="P96" s="3" t="s">
        <v>13</v>
      </c>
      <c r="Q96" s="1" t="s">
        <v>149</v>
      </c>
      <c r="R96" s="3" t="s">
        <v>123</v>
      </c>
      <c r="S96" s="1" t="s">
        <v>150</v>
      </c>
      <c r="T96" s="1"/>
      <c r="U96" s="1"/>
      <c r="V96" s="1"/>
      <c r="AC96" s="1"/>
      <c r="AD96" s="1"/>
      <c r="AE96" s="1"/>
      <c r="AF96" s="1"/>
    </row>
    <row r="97" spans="1:32" x14ac:dyDescent="0.15">
      <c r="A97" s="1"/>
      <c r="B97" s="1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O97" s="1"/>
      <c r="P97" s="3" t="s">
        <v>13</v>
      </c>
      <c r="Q97" s="109">
        <f>S64</f>
        <v>845.72335870731763</v>
      </c>
      <c r="R97" s="109"/>
      <c r="S97" s="3" t="s">
        <v>60</v>
      </c>
      <c r="T97" s="1" t="s">
        <v>672</v>
      </c>
      <c r="U97" s="1">
        <f>F85</f>
        <v>55</v>
      </c>
      <c r="V97" s="1" t="str">
        <f>G85</f>
        <v>°</v>
      </c>
      <c r="AC97" s="1"/>
      <c r="AD97" s="1"/>
      <c r="AE97" s="1"/>
      <c r="AF97" s="1"/>
    </row>
    <row r="98" spans="1:32" x14ac:dyDescent="0.15">
      <c r="A98" s="1"/>
      <c r="B98" s="1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O98" s="1"/>
      <c r="P98" s="3" t="s">
        <v>13</v>
      </c>
      <c r="Q98" s="110">
        <f>ROUNDUP(Q97*AG92,1)</f>
        <v>485.1</v>
      </c>
      <c r="R98" s="110"/>
      <c r="S98" s="1" t="s">
        <v>8</v>
      </c>
      <c r="T98" s="1"/>
      <c r="U98" s="1"/>
      <c r="V98" s="1"/>
      <c r="AC98" s="1"/>
      <c r="AD98" s="1"/>
      <c r="AE98" s="1"/>
      <c r="AF98" s="1"/>
    </row>
    <row r="99" spans="1:32" x14ac:dyDescent="0.15">
      <c r="A99" s="1"/>
      <c r="B99" s="1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1"/>
      <c r="O99" s="3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x14ac:dyDescent="0.15">
      <c r="A100" s="1"/>
      <c r="B100" s="1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1"/>
      <c r="P100" s="1"/>
      <c r="Q100" s="1"/>
      <c r="R100" s="1"/>
      <c r="S100" s="1"/>
      <c r="T100" s="1"/>
      <c r="U100" s="1"/>
      <c r="V100" s="1"/>
    </row>
    <row r="101" spans="1:32" x14ac:dyDescent="0.15">
      <c r="A101" s="1"/>
      <c r="B101" s="1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1"/>
      <c r="P101" s="1"/>
      <c r="Q101" s="1"/>
      <c r="R101" s="1"/>
      <c r="S101" s="1"/>
      <c r="T101" s="1"/>
      <c r="U101" s="1"/>
      <c r="V101" s="1"/>
    </row>
    <row r="102" spans="1:32" x14ac:dyDescent="0.15">
      <c r="A102" s="1"/>
      <c r="B102" s="1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1"/>
      <c r="P102" s="1"/>
      <c r="Q102" s="1"/>
      <c r="R102" s="1"/>
      <c r="S102" s="1"/>
      <c r="T102" s="1"/>
      <c r="U102" s="1"/>
      <c r="V102" s="1"/>
    </row>
    <row r="103" spans="1:32" x14ac:dyDescent="0.15">
      <c r="A103" s="1"/>
      <c r="B103" s="1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1"/>
      <c r="P103" s="1"/>
      <c r="Q103" s="1"/>
      <c r="R103" s="1"/>
      <c r="S103" s="1"/>
      <c r="T103" s="1"/>
      <c r="U103" s="1"/>
      <c r="V103" s="1"/>
    </row>
    <row r="104" spans="1:32" x14ac:dyDescent="0.15">
      <c r="A104" s="1"/>
      <c r="B104" s="1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1"/>
      <c r="P104" s="1"/>
      <c r="Q104" s="1"/>
      <c r="R104" s="1"/>
      <c r="S104" s="1"/>
      <c r="T104" s="1"/>
      <c r="U104" s="1"/>
      <c r="V104" s="1"/>
    </row>
    <row r="105" spans="1:32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32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32" x14ac:dyDescent="0.15">
      <c r="A107" s="1" t="s">
        <v>62</v>
      </c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32" x14ac:dyDescent="0.15">
      <c r="A108" s="1"/>
      <c r="B108" s="1" t="s">
        <v>63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32" x14ac:dyDescent="0.15">
      <c r="A109" s="1"/>
      <c r="B109" s="1"/>
      <c r="C109" s="3" t="s">
        <v>65</v>
      </c>
      <c r="D109" s="3" t="s">
        <v>13</v>
      </c>
      <c r="E109" s="1" t="s">
        <v>158</v>
      </c>
      <c r="F109" s="25" t="s">
        <v>16</v>
      </c>
      <c r="G109" s="3" t="s">
        <v>159</v>
      </c>
      <c r="H109" s="3" t="s">
        <v>13</v>
      </c>
      <c r="I109" s="77">
        <f>S67*1000</f>
        <v>289254.42435894266</v>
      </c>
      <c r="J109" s="77"/>
      <c r="K109" s="25" t="s">
        <v>16</v>
      </c>
      <c r="L109" s="1">
        <f>S76</f>
        <v>310</v>
      </c>
      <c r="M109" s="3" t="s">
        <v>13</v>
      </c>
      <c r="N109" s="114">
        <f>I109*L109</f>
        <v>89668871.551272228</v>
      </c>
      <c r="O109" s="114"/>
      <c r="P109" s="114"/>
      <c r="Q109" s="1" t="s">
        <v>509</v>
      </c>
      <c r="R109" s="1"/>
      <c r="S109" s="1"/>
      <c r="T109" s="1"/>
      <c r="U109" s="1"/>
      <c r="V109" s="1"/>
    </row>
    <row r="110" spans="1:32" x14ac:dyDescent="0.15">
      <c r="A110" s="1"/>
      <c r="B110" s="1"/>
      <c r="C110" s="1"/>
      <c r="D110" s="3"/>
      <c r="E110" s="1"/>
      <c r="F110" s="3"/>
      <c r="G110" s="5"/>
      <c r="H110" s="25"/>
      <c r="I110" s="1"/>
      <c r="J110" s="3"/>
      <c r="K110" s="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32" x14ac:dyDescent="0.15">
      <c r="A111" s="1"/>
      <c r="B111" s="1" t="s">
        <v>64</v>
      </c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32" x14ac:dyDescent="0.15">
      <c r="A112" s="1"/>
      <c r="B112" s="1"/>
      <c r="C112" s="3" t="s">
        <v>66</v>
      </c>
      <c r="D112" s="3" t="s">
        <v>13</v>
      </c>
      <c r="E112" s="1" t="s">
        <v>160</v>
      </c>
      <c r="F112" s="25" t="s">
        <v>16</v>
      </c>
      <c r="G112" s="3" t="s">
        <v>159</v>
      </c>
      <c r="H112" s="3" t="s">
        <v>13</v>
      </c>
      <c r="I112" s="77">
        <f>Q98*1000</f>
        <v>485100</v>
      </c>
      <c r="J112" s="77"/>
      <c r="K112" s="25" t="s">
        <v>16</v>
      </c>
      <c r="L112" s="1">
        <f>S76</f>
        <v>310</v>
      </c>
      <c r="M112" s="3" t="s">
        <v>13</v>
      </c>
      <c r="N112" s="114">
        <f>I112*L112</f>
        <v>150381000</v>
      </c>
      <c r="O112" s="114"/>
      <c r="P112" s="114"/>
      <c r="Q112" s="1" t="s">
        <v>14</v>
      </c>
      <c r="R112" s="1"/>
      <c r="S112" s="1"/>
      <c r="T112" s="1"/>
      <c r="U112" s="1"/>
      <c r="V112" s="1"/>
    </row>
    <row r="113" spans="1:22" x14ac:dyDescent="0.15">
      <c r="A113" s="1"/>
      <c r="B113" s="3"/>
      <c r="C113" s="3"/>
      <c r="D113" s="1"/>
      <c r="E113" s="25"/>
      <c r="F113" s="3"/>
      <c r="G113" s="3"/>
      <c r="H113" s="25"/>
      <c r="I113" s="25"/>
      <c r="J113" s="25"/>
      <c r="K113" s="1"/>
      <c r="L113" s="3"/>
      <c r="M113" s="25"/>
      <c r="N113" s="25"/>
      <c r="O113" s="25"/>
      <c r="P113" s="1"/>
      <c r="Q113" s="1"/>
      <c r="R113" s="1"/>
      <c r="S113" s="1"/>
      <c r="T113" s="1"/>
      <c r="U113" s="1"/>
      <c r="V113" s="1"/>
    </row>
    <row r="114" spans="1:22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15">
      <c r="A116" s="2" t="s">
        <v>615</v>
      </c>
      <c r="B116" s="1" t="s">
        <v>660</v>
      </c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15">
      <c r="A140" s="1" t="s">
        <v>580</v>
      </c>
      <c r="B140" s="1" t="s">
        <v>579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15">
      <c r="A142" s="1"/>
      <c r="B142" s="1" t="s">
        <v>67</v>
      </c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15">
      <c r="A144" s="1"/>
      <c r="B144" s="1"/>
      <c r="C144" s="1"/>
      <c r="D144" s="73" t="s">
        <v>68</v>
      </c>
      <c r="E144" s="73" t="s">
        <v>13</v>
      </c>
      <c r="F144" s="8" t="s">
        <v>179</v>
      </c>
      <c r="G144" s="8" t="s">
        <v>510</v>
      </c>
      <c r="H144" s="8" t="s">
        <v>511</v>
      </c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15">
      <c r="A145" s="1"/>
      <c r="B145" s="1"/>
      <c r="C145" s="1"/>
      <c r="D145" s="73"/>
      <c r="E145" s="73"/>
      <c r="F145" s="1"/>
      <c r="G145" s="3" t="s">
        <v>93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15">
      <c r="A146" s="1"/>
      <c r="B146" s="1"/>
      <c r="C146" s="1"/>
      <c r="D146" s="1"/>
      <c r="E146" s="1"/>
      <c r="F146" s="3"/>
      <c r="G146" s="1"/>
      <c r="H146" s="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15">
      <c r="A147" s="1"/>
      <c r="B147" s="1"/>
      <c r="C147" s="1"/>
      <c r="D147" s="1"/>
      <c r="E147" s="73" t="s">
        <v>13</v>
      </c>
      <c r="F147" s="81">
        <f>SUM(F154:G166)</f>
        <v>4059.5</v>
      </c>
      <c r="G147" s="8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15">
      <c r="A148" s="1"/>
      <c r="B148" s="1"/>
      <c r="C148" s="1"/>
      <c r="D148" s="1"/>
      <c r="E148" s="73"/>
      <c r="F148" s="117">
        <f>SUM(H154:H166)</f>
        <v>10</v>
      </c>
      <c r="G148" s="117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15">
      <c r="A149" s="1"/>
      <c r="B149" s="1"/>
      <c r="C149" s="1"/>
      <c r="D149" s="1"/>
      <c r="E149" s="1"/>
      <c r="F149" s="3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15">
      <c r="A150" s="1"/>
      <c r="B150" s="1"/>
      <c r="C150" s="1"/>
      <c r="D150" s="1"/>
      <c r="E150" s="3" t="s">
        <v>13</v>
      </c>
      <c r="F150" s="116">
        <f>F147/F148</f>
        <v>405.95</v>
      </c>
      <c r="G150" s="116"/>
      <c r="H150" s="3" t="s">
        <v>69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4.25" thickBot="1" x14ac:dyDescent="0.2">
      <c r="F151" s="41"/>
    </row>
    <row r="152" spans="1:22" ht="13.15" customHeight="1" x14ac:dyDescent="0.15">
      <c r="A152" s="118"/>
      <c r="B152" s="99" t="s">
        <v>70</v>
      </c>
      <c r="C152" s="99"/>
      <c r="D152" s="99"/>
      <c r="E152" s="99" t="s">
        <v>688</v>
      </c>
      <c r="F152" s="99"/>
      <c r="G152" s="99"/>
      <c r="H152" s="100" t="s">
        <v>84</v>
      </c>
      <c r="I152" s="100"/>
      <c r="J152" s="100" t="s">
        <v>83</v>
      </c>
      <c r="K152" s="100"/>
      <c r="L152" s="100"/>
      <c r="M152" s="100"/>
      <c r="N152" s="100"/>
      <c r="O152" s="100" t="s">
        <v>85</v>
      </c>
      <c r="P152" s="100"/>
      <c r="Q152" s="100" t="s">
        <v>86</v>
      </c>
      <c r="R152" s="100"/>
      <c r="S152" s="100"/>
      <c r="T152" s="100"/>
      <c r="U152" s="102"/>
    </row>
    <row r="153" spans="1:22" x14ac:dyDescent="0.15">
      <c r="A153" s="119"/>
      <c r="B153" s="86"/>
      <c r="C153" s="86"/>
      <c r="D153" s="86"/>
      <c r="E153" s="86"/>
      <c r="F153" s="86"/>
      <c r="G153" s="86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3"/>
    </row>
    <row r="154" spans="1:22" x14ac:dyDescent="0.15">
      <c r="A154" s="120" t="s">
        <v>58</v>
      </c>
      <c r="B154" s="86" t="s">
        <v>71</v>
      </c>
      <c r="C154" s="86"/>
      <c r="D154" s="86"/>
      <c r="E154" s="13" t="s">
        <v>87</v>
      </c>
      <c r="F154" s="96">
        <v>69</v>
      </c>
      <c r="G154" s="96"/>
      <c r="H154" s="86">
        <v>1</v>
      </c>
      <c r="I154" s="86"/>
      <c r="J154" s="108">
        <f>$F$150-F154</f>
        <v>336.95</v>
      </c>
      <c r="K154" s="108"/>
      <c r="L154" s="108"/>
      <c r="M154" s="108"/>
      <c r="N154" s="108"/>
      <c r="O154" s="92">
        <f>H154*J154^2</f>
        <v>113535.30249999999</v>
      </c>
      <c r="P154" s="92"/>
      <c r="Q154" s="92">
        <f>$N$109*J154/$O$168</f>
        <v>68891.32783593265</v>
      </c>
      <c r="R154" s="92"/>
      <c r="S154" s="92"/>
      <c r="T154" s="92"/>
      <c r="U154" s="98"/>
    </row>
    <row r="155" spans="1:22" x14ac:dyDescent="0.15">
      <c r="A155" s="120"/>
      <c r="B155" s="86" t="s">
        <v>72</v>
      </c>
      <c r="C155" s="86"/>
      <c r="D155" s="86"/>
      <c r="E155" s="13" t="s">
        <v>88</v>
      </c>
      <c r="F155" s="96">
        <v>331</v>
      </c>
      <c r="G155" s="96"/>
      <c r="H155" s="86">
        <v>1</v>
      </c>
      <c r="I155" s="86"/>
      <c r="J155" s="108">
        <f t="shared" ref="J155:J157" si="0">$F$150-F155</f>
        <v>74.949999999999989</v>
      </c>
      <c r="K155" s="108"/>
      <c r="L155" s="108"/>
      <c r="M155" s="108"/>
      <c r="N155" s="108"/>
      <c r="O155" s="92">
        <f t="shared" ref="O155:O157" si="1">H155*J155^2</f>
        <v>5617.5024999999987</v>
      </c>
      <c r="P155" s="92"/>
      <c r="Q155" s="92">
        <f t="shared" ref="Q155:Q157" si="2">$N$109*J155/$O$168</f>
        <v>15323.950204193952</v>
      </c>
      <c r="R155" s="92"/>
      <c r="S155" s="92"/>
      <c r="T155" s="92"/>
      <c r="U155" s="98"/>
    </row>
    <row r="156" spans="1:22" x14ac:dyDescent="0.15">
      <c r="A156" s="120"/>
      <c r="B156" s="86" t="s">
        <v>73</v>
      </c>
      <c r="C156" s="86"/>
      <c r="D156" s="86"/>
      <c r="E156" s="13" t="s">
        <v>89</v>
      </c>
      <c r="F156" s="96">
        <v>418</v>
      </c>
      <c r="G156" s="96"/>
      <c r="H156" s="86">
        <v>1</v>
      </c>
      <c r="I156" s="86"/>
      <c r="J156" s="94">
        <f t="shared" si="0"/>
        <v>-12.050000000000011</v>
      </c>
      <c r="K156" s="94"/>
      <c r="L156" s="94"/>
      <c r="M156" s="94"/>
      <c r="N156" s="94"/>
      <c r="O156" s="92">
        <f t="shared" si="1"/>
        <v>145.20250000000027</v>
      </c>
      <c r="P156" s="92"/>
      <c r="Q156" s="92">
        <f t="shared" si="2"/>
        <v>-2463.6904597803509</v>
      </c>
      <c r="R156" s="92"/>
      <c r="S156" s="92"/>
      <c r="T156" s="92"/>
      <c r="U156" s="98"/>
    </row>
    <row r="157" spans="1:22" x14ac:dyDescent="0.15">
      <c r="A157" s="120"/>
      <c r="B157" s="86" t="s">
        <v>74</v>
      </c>
      <c r="C157" s="86"/>
      <c r="D157" s="86"/>
      <c r="E157" s="13" t="s">
        <v>90</v>
      </c>
      <c r="F157" s="111">
        <v>505</v>
      </c>
      <c r="G157" s="112"/>
      <c r="H157" s="86">
        <v>1</v>
      </c>
      <c r="I157" s="86"/>
      <c r="J157" s="94">
        <f t="shared" si="0"/>
        <v>-99.050000000000011</v>
      </c>
      <c r="K157" s="94"/>
      <c r="L157" s="94"/>
      <c r="M157" s="94"/>
      <c r="N157" s="94"/>
      <c r="O157" s="92">
        <f t="shared" si="1"/>
        <v>9810.902500000002</v>
      </c>
      <c r="P157" s="92"/>
      <c r="Q157" s="92">
        <f t="shared" si="2"/>
        <v>-20251.331123754651</v>
      </c>
      <c r="R157" s="92"/>
      <c r="S157" s="92"/>
      <c r="T157" s="92"/>
      <c r="U157" s="98"/>
    </row>
    <row r="158" spans="1:22" x14ac:dyDescent="0.15">
      <c r="A158" s="120"/>
      <c r="B158" s="86" t="s">
        <v>75</v>
      </c>
      <c r="C158" s="86"/>
      <c r="D158" s="86"/>
      <c r="E158" s="13" t="s">
        <v>91</v>
      </c>
      <c r="F158" s="111">
        <v>702.5</v>
      </c>
      <c r="G158" s="112"/>
      <c r="H158" s="86">
        <v>1</v>
      </c>
      <c r="I158" s="86"/>
      <c r="J158" s="94">
        <f t="shared" ref="J158" si="3">$F$150-F158</f>
        <v>-296.55</v>
      </c>
      <c r="K158" s="94"/>
      <c r="L158" s="94"/>
      <c r="M158" s="94"/>
      <c r="N158" s="94"/>
      <c r="O158" s="92">
        <f t="shared" ref="O158" si="4">H158*J158^2</f>
        <v>87941.902500000011</v>
      </c>
      <c r="P158" s="92"/>
      <c r="Q158" s="92">
        <f t="shared" ref="Q158" si="5">$N$109*J158/$O$168</f>
        <v>-60631.319987374482</v>
      </c>
      <c r="R158" s="92"/>
      <c r="S158" s="92"/>
      <c r="T158" s="92"/>
      <c r="U158" s="98"/>
    </row>
    <row r="159" spans="1:22" x14ac:dyDescent="0.15">
      <c r="A159" s="120"/>
      <c r="B159" s="86" t="s">
        <v>76</v>
      </c>
      <c r="C159" s="86"/>
      <c r="D159" s="86"/>
      <c r="E159" s="13" t="s">
        <v>92</v>
      </c>
      <c r="F159" s="97"/>
      <c r="G159" s="97"/>
      <c r="H159" s="86"/>
      <c r="I159" s="86"/>
      <c r="J159" s="94"/>
      <c r="K159" s="94"/>
      <c r="L159" s="94"/>
      <c r="M159" s="94"/>
      <c r="N159" s="94"/>
      <c r="O159" s="92"/>
      <c r="P159" s="92"/>
      <c r="Q159" s="92"/>
      <c r="R159" s="92"/>
      <c r="S159" s="92"/>
      <c r="T159" s="92"/>
      <c r="U159" s="98"/>
    </row>
    <row r="160" spans="1:22" x14ac:dyDescent="0.15">
      <c r="A160" s="42"/>
      <c r="B160" s="43"/>
      <c r="C160" s="43"/>
      <c r="D160" s="43"/>
      <c r="E160" s="18"/>
      <c r="F160" s="43"/>
      <c r="G160" s="18"/>
      <c r="H160" s="43"/>
      <c r="I160" s="43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68"/>
    </row>
    <row r="161" spans="1:22" x14ac:dyDescent="0.15">
      <c r="A161" s="120" t="s">
        <v>57</v>
      </c>
      <c r="B161" s="86" t="s">
        <v>77</v>
      </c>
      <c r="C161" s="86"/>
      <c r="D161" s="86"/>
      <c r="E161" s="13" t="s">
        <v>87</v>
      </c>
      <c r="F161" s="96">
        <v>69.5</v>
      </c>
      <c r="G161" s="96"/>
      <c r="H161" s="86">
        <v>1</v>
      </c>
      <c r="I161" s="86"/>
      <c r="J161" s="94">
        <f t="shared" ref="J161" si="6">$F$150-F161</f>
        <v>336.45</v>
      </c>
      <c r="K161" s="94"/>
      <c r="L161" s="94"/>
      <c r="M161" s="94"/>
      <c r="N161" s="94"/>
      <c r="O161" s="92">
        <f t="shared" ref="O161:O164" si="7">H161*J161^2</f>
        <v>113198.60249999999</v>
      </c>
      <c r="P161" s="92"/>
      <c r="Q161" s="92">
        <f t="shared" ref="Q161:Q164" si="8">$N$109*J161/$O$168</f>
        <v>68789.100016024764</v>
      </c>
      <c r="R161" s="92"/>
      <c r="S161" s="92"/>
      <c r="T161" s="92"/>
      <c r="U161" s="98"/>
    </row>
    <row r="162" spans="1:22" x14ac:dyDescent="0.15">
      <c r="A162" s="120"/>
      <c r="B162" s="86" t="s">
        <v>78</v>
      </c>
      <c r="C162" s="86"/>
      <c r="D162" s="86"/>
      <c r="E162" s="13" t="s">
        <v>88</v>
      </c>
      <c r="F162" s="96">
        <v>331</v>
      </c>
      <c r="G162" s="96"/>
      <c r="H162" s="86">
        <v>1</v>
      </c>
      <c r="I162" s="86"/>
      <c r="J162" s="108">
        <f t="shared" ref="J162:J164" si="9">$F$150-F162</f>
        <v>74.949999999999989</v>
      </c>
      <c r="K162" s="108"/>
      <c r="L162" s="108"/>
      <c r="M162" s="108"/>
      <c r="N162" s="108"/>
      <c r="O162" s="92">
        <f t="shared" si="7"/>
        <v>5617.5024999999987</v>
      </c>
      <c r="P162" s="92"/>
      <c r="Q162" s="92">
        <f t="shared" si="8"/>
        <v>15323.950204193952</v>
      </c>
      <c r="R162" s="92"/>
      <c r="S162" s="92"/>
      <c r="T162" s="92"/>
      <c r="U162" s="98"/>
    </row>
    <row r="163" spans="1:22" x14ac:dyDescent="0.15">
      <c r="A163" s="120"/>
      <c r="B163" s="86" t="s">
        <v>79</v>
      </c>
      <c r="C163" s="86"/>
      <c r="D163" s="86"/>
      <c r="E163" s="13" t="s">
        <v>89</v>
      </c>
      <c r="F163" s="96">
        <v>418</v>
      </c>
      <c r="G163" s="96"/>
      <c r="H163" s="86">
        <v>1</v>
      </c>
      <c r="I163" s="86"/>
      <c r="J163" s="94">
        <f t="shared" si="9"/>
        <v>-12.050000000000011</v>
      </c>
      <c r="K163" s="94"/>
      <c r="L163" s="94"/>
      <c r="M163" s="94"/>
      <c r="N163" s="94"/>
      <c r="O163" s="92">
        <f t="shared" si="7"/>
        <v>145.20250000000027</v>
      </c>
      <c r="P163" s="92"/>
      <c r="Q163" s="92">
        <f t="shared" si="8"/>
        <v>-2463.6904597803509</v>
      </c>
      <c r="R163" s="92"/>
      <c r="S163" s="92"/>
      <c r="T163" s="92"/>
      <c r="U163" s="98"/>
    </row>
    <row r="164" spans="1:22" x14ac:dyDescent="0.15">
      <c r="A164" s="120"/>
      <c r="B164" s="86" t="s">
        <v>80</v>
      </c>
      <c r="C164" s="86"/>
      <c r="D164" s="86"/>
      <c r="E164" s="13" t="s">
        <v>90</v>
      </c>
      <c r="F164" s="96">
        <v>505</v>
      </c>
      <c r="G164" s="96"/>
      <c r="H164" s="86">
        <v>1</v>
      </c>
      <c r="I164" s="86"/>
      <c r="J164" s="94">
        <f t="shared" si="9"/>
        <v>-99.050000000000011</v>
      </c>
      <c r="K164" s="94"/>
      <c r="L164" s="94"/>
      <c r="M164" s="94"/>
      <c r="N164" s="94"/>
      <c r="O164" s="92">
        <f t="shared" si="7"/>
        <v>9810.902500000002</v>
      </c>
      <c r="P164" s="92"/>
      <c r="Q164" s="92">
        <f t="shared" si="8"/>
        <v>-20251.331123754651</v>
      </c>
      <c r="R164" s="92"/>
      <c r="S164" s="92"/>
      <c r="T164" s="92"/>
      <c r="U164" s="98"/>
    </row>
    <row r="165" spans="1:22" x14ac:dyDescent="0.15">
      <c r="A165" s="120"/>
      <c r="B165" s="86" t="s">
        <v>81</v>
      </c>
      <c r="C165" s="86"/>
      <c r="D165" s="86"/>
      <c r="E165" s="13" t="s">
        <v>91</v>
      </c>
      <c r="F165" s="96">
        <v>710.5</v>
      </c>
      <c r="G165" s="96"/>
      <c r="H165" s="86">
        <v>1</v>
      </c>
      <c r="I165" s="86"/>
      <c r="J165" s="95">
        <f t="shared" ref="J165" si="10">$F$150-F165</f>
        <v>-304.55</v>
      </c>
      <c r="K165" s="95"/>
      <c r="L165" s="95"/>
      <c r="M165" s="95"/>
      <c r="N165" s="95"/>
      <c r="O165" s="93">
        <f t="shared" ref="O165" si="11">H165*J165^2</f>
        <v>92750.702500000014</v>
      </c>
      <c r="P165" s="93"/>
      <c r="Q165" s="93">
        <f t="shared" ref="Q165" si="12">$N$109*J165/$O$168</f>
        <v>-62266.965105900847</v>
      </c>
      <c r="R165" s="93"/>
      <c r="S165" s="93"/>
      <c r="T165" s="93"/>
      <c r="U165" s="105"/>
    </row>
    <row r="166" spans="1:22" x14ac:dyDescent="0.15">
      <c r="A166" s="120"/>
      <c r="B166" s="86" t="s">
        <v>82</v>
      </c>
      <c r="C166" s="86"/>
      <c r="D166" s="86"/>
      <c r="E166" s="13" t="s">
        <v>92</v>
      </c>
      <c r="F166" s="97"/>
      <c r="G166" s="97"/>
      <c r="H166" s="86"/>
      <c r="I166" s="86"/>
      <c r="J166" s="95"/>
      <c r="K166" s="95"/>
      <c r="L166" s="95"/>
      <c r="M166" s="95"/>
      <c r="N166" s="95"/>
      <c r="O166" s="93"/>
      <c r="P166" s="93"/>
      <c r="Q166" s="93"/>
      <c r="R166" s="93"/>
      <c r="S166" s="93"/>
      <c r="T166" s="93"/>
      <c r="U166" s="105"/>
    </row>
    <row r="167" spans="1:22" ht="14.25" thickBot="1" x14ac:dyDescent="0.2">
      <c r="A167" s="42"/>
      <c r="B167" s="43"/>
      <c r="C167" s="43"/>
      <c r="D167" s="43"/>
      <c r="E167" s="18"/>
      <c r="F167" s="43"/>
      <c r="G167" s="18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4"/>
    </row>
    <row r="168" spans="1:22" ht="14.25" thickBot="1" x14ac:dyDescent="0.2">
      <c r="A168" s="45"/>
      <c r="B168" s="46"/>
      <c r="C168" s="46"/>
      <c r="D168" s="46"/>
      <c r="E168" s="46"/>
      <c r="F168" s="46"/>
      <c r="G168" s="46"/>
      <c r="H168" s="46"/>
      <c r="I168" s="46"/>
      <c r="J168" s="83" t="s">
        <v>523</v>
      </c>
      <c r="K168" s="83"/>
      <c r="L168" s="83"/>
      <c r="M168" s="83"/>
      <c r="N168" s="83"/>
      <c r="O168" s="106">
        <f>SUM(O154:O167)</f>
        <v>438573.72500000003</v>
      </c>
      <c r="P168" s="107"/>
      <c r="Q168" s="47"/>
      <c r="R168" s="47"/>
      <c r="S168" s="47"/>
      <c r="T168" s="47"/>
      <c r="U168" s="48"/>
    </row>
    <row r="169" spans="1:22" x14ac:dyDescent="0.15">
      <c r="A169" s="1"/>
      <c r="B169" s="49" t="s">
        <v>94</v>
      </c>
      <c r="C169" s="1" t="s">
        <v>95</v>
      </c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x14ac:dyDescent="0.15">
      <c r="A170" s="1"/>
      <c r="B170" s="60" t="s">
        <v>100</v>
      </c>
      <c r="C170" s="61" t="s">
        <v>96</v>
      </c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1"/>
      <c r="U170" s="1"/>
      <c r="V170" s="1"/>
    </row>
    <row r="174" spans="1:22" x14ac:dyDescent="0.15">
      <c r="A174" s="2" t="s">
        <v>658</v>
      </c>
      <c r="B174" s="1" t="s">
        <v>659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x14ac:dyDescent="0.15">
      <c r="A176" s="1"/>
      <c r="B176" s="1" t="s">
        <v>67</v>
      </c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x14ac:dyDescent="0.15">
      <c r="A178" s="1"/>
      <c r="B178" s="1"/>
      <c r="C178" s="1"/>
      <c r="D178" s="73" t="s">
        <v>68</v>
      </c>
      <c r="E178" s="73" t="s">
        <v>13</v>
      </c>
      <c r="F178" s="8" t="s">
        <v>179</v>
      </c>
      <c r="G178" s="8" t="s">
        <v>510</v>
      </c>
      <c r="H178" s="8" t="s">
        <v>511</v>
      </c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x14ac:dyDescent="0.15">
      <c r="A179" s="1"/>
      <c r="B179" s="1"/>
      <c r="C179" s="1"/>
      <c r="D179" s="73"/>
      <c r="E179" s="73"/>
      <c r="F179" s="1"/>
      <c r="G179" s="3" t="s">
        <v>93</v>
      </c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x14ac:dyDescent="0.15">
      <c r="A180" s="1"/>
      <c r="B180" s="1"/>
      <c r="C180" s="1"/>
      <c r="D180" s="1"/>
      <c r="E180" s="1"/>
      <c r="F180" s="3"/>
      <c r="G180" s="1"/>
      <c r="H180" s="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x14ac:dyDescent="0.15">
      <c r="A181" s="1"/>
      <c r="B181" s="1"/>
      <c r="C181" s="1"/>
      <c r="D181" s="1"/>
      <c r="E181" s="3" t="s">
        <v>13</v>
      </c>
      <c r="F181" s="81">
        <f>SUM(F188:G200)</f>
        <v>2003.5</v>
      </c>
      <c r="G181" s="81"/>
      <c r="H181" s="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x14ac:dyDescent="0.15">
      <c r="A182" s="1"/>
      <c r="B182" s="1"/>
      <c r="C182" s="1"/>
      <c r="D182" s="1"/>
      <c r="E182" s="1"/>
      <c r="F182" s="73">
        <f>F148</f>
        <v>10</v>
      </c>
      <c r="G182" s="73"/>
      <c r="H182" s="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x14ac:dyDescent="0.15">
      <c r="A183" s="1"/>
      <c r="B183" s="1"/>
      <c r="C183" s="1"/>
      <c r="D183" s="1"/>
      <c r="E183" s="1"/>
      <c r="F183" s="3"/>
      <c r="G183" s="1"/>
      <c r="H183" s="3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x14ac:dyDescent="0.15">
      <c r="A184" s="1"/>
      <c r="B184" s="1"/>
      <c r="C184" s="1"/>
      <c r="D184" s="1"/>
      <c r="E184" s="3" t="s">
        <v>13</v>
      </c>
      <c r="F184" s="104">
        <f>F181/F182</f>
        <v>200.35</v>
      </c>
      <c r="G184" s="104"/>
      <c r="H184" s="3" t="s">
        <v>69</v>
      </c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4.25" thickBot="1" x14ac:dyDescent="0.2">
      <c r="E185" s="41"/>
      <c r="F185" s="41"/>
      <c r="G185" s="41"/>
      <c r="H185" s="41"/>
    </row>
    <row r="186" spans="1:22" ht="13.9" customHeight="1" x14ac:dyDescent="0.15">
      <c r="A186" s="118"/>
      <c r="B186" s="99" t="s">
        <v>70</v>
      </c>
      <c r="C186" s="99"/>
      <c r="D186" s="99"/>
      <c r="E186" s="99" t="s">
        <v>99</v>
      </c>
      <c r="F186" s="99"/>
      <c r="G186" s="99"/>
      <c r="H186" s="100" t="s">
        <v>84</v>
      </c>
      <c r="I186" s="100"/>
      <c r="J186" s="100" t="s">
        <v>83</v>
      </c>
      <c r="K186" s="100"/>
      <c r="L186" s="100"/>
      <c r="M186" s="100"/>
      <c r="N186" s="100"/>
      <c r="O186" s="100" t="s">
        <v>85</v>
      </c>
      <c r="P186" s="100"/>
      <c r="Q186" s="100" t="s">
        <v>101</v>
      </c>
      <c r="R186" s="100"/>
      <c r="S186" s="100"/>
      <c r="T186" s="100"/>
      <c r="U186" s="102"/>
    </row>
    <row r="187" spans="1:22" x14ac:dyDescent="0.15">
      <c r="A187" s="119"/>
      <c r="B187" s="86"/>
      <c r="C187" s="86"/>
      <c r="D187" s="86"/>
      <c r="E187" s="86"/>
      <c r="F187" s="86"/>
      <c r="G187" s="86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3"/>
    </row>
    <row r="188" spans="1:22" x14ac:dyDescent="0.15">
      <c r="A188" s="120" t="s">
        <v>58</v>
      </c>
      <c r="B188" s="86" t="s">
        <v>71</v>
      </c>
      <c r="C188" s="86"/>
      <c r="D188" s="86"/>
      <c r="E188" s="13" t="s">
        <v>87</v>
      </c>
      <c r="F188" s="96">
        <v>85</v>
      </c>
      <c r="G188" s="96"/>
      <c r="H188" s="86">
        <v>1</v>
      </c>
      <c r="I188" s="86"/>
      <c r="J188" s="94">
        <f>$F$184-F188</f>
        <v>115.35</v>
      </c>
      <c r="K188" s="94"/>
      <c r="L188" s="94"/>
      <c r="M188" s="94"/>
      <c r="N188" s="94"/>
      <c r="O188" s="92">
        <f>H188*J188^2</f>
        <v>13305.622499999999</v>
      </c>
      <c r="P188" s="92"/>
      <c r="Q188" s="89">
        <f t="shared" ref="Q188:Q191" si="13">$N$112*J188/$O$202+$Q$93*1000/SUM(H$188:H$200)</f>
        <v>203683.96855697868</v>
      </c>
      <c r="R188" s="89"/>
      <c r="S188" s="89"/>
      <c r="T188" s="89"/>
      <c r="U188" s="90"/>
    </row>
    <row r="189" spans="1:22" x14ac:dyDescent="0.15">
      <c r="A189" s="120"/>
      <c r="B189" s="86" t="s">
        <v>512</v>
      </c>
      <c r="C189" s="86"/>
      <c r="D189" s="86"/>
      <c r="E189" s="13" t="s">
        <v>88</v>
      </c>
      <c r="F189" s="96">
        <v>89.5</v>
      </c>
      <c r="G189" s="96"/>
      <c r="H189" s="86">
        <v>1</v>
      </c>
      <c r="I189" s="86"/>
      <c r="J189" s="94">
        <f t="shared" ref="J189:J191" si="14">$F$184-F189</f>
        <v>110.85</v>
      </c>
      <c r="K189" s="94"/>
      <c r="L189" s="94"/>
      <c r="M189" s="94"/>
      <c r="N189" s="94"/>
      <c r="O189" s="92">
        <f t="shared" ref="O189:O191" si="15">H189*J189^2</f>
        <v>12287.722499999998</v>
      </c>
      <c r="P189" s="92"/>
      <c r="Q189" s="89">
        <f t="shared" si="13"/>
        <v>198440.64078492491</v>
      </c>
      <c r="R189" s="89"/>
      <c r="S189" s="89"/>
      <c r="T189" s="89"/>
      <c r="U189" s="90"/>
    </row>
    <row r="190" spans="1:22" x14ac:dyDescent="0.15">
      <c r="A190" s="120"/>
      <c r="B190" s="86" t="s">
        <v>513</v>
      </c>
      <c r="C190" s="86"/>
      <c r="D190" s="86"/>
      <c r="E190" s="13" t="s">
        <v>89</v>
      </c>
      <c r="F190" s="96">
        <v>89.5</v>
      </c>
      <c r="G190" s="96"/>
      <c r="H190" s="86">
        <v>1</v>
      </c>
      <c r="I190" s="86"/>
      <c r="J190" s="94">
        <f t="shared" si="14"/>
        <v>110.85</v>
      </c>
      <c r="K190" s="94"/>
      <c r="L190" s="94"/>
      <c r="M190" s="94"/>
      <c r="N190" s="94"/>
      <c r="O190" s="92">
        <f t="shared" si="15"/>
        <v>12287.722499999998</v>
      </c>
      <c r="P190" s="92"/>
      <c r="Q190" s="89">
        <f t="shared" si="13"/>
        <v>198440.64078492491</v>
      </c>
      <c r="R190" s="89"/>
      <c r="S190" s="89"/>
      <c r="T190" s="89"/>
      <c r="U190" s="90"/>
    </row>
    <row r="191" spans="1:22" x14ac:dyDescent="0.15">
      <c r="A191" s="120"/>
      <c r="B191" s="86" t="s">
        <v>514</v>
      </c>
      <c r="C191" s="86"/>
      <c r="D191" s="86"/>
      <c r="E191" s="13" t="s">
        <v>90</v>
      </c>
      <c r="F191" s="96">
        <v>89.5</v>
      </c>
      <c r="G191" s="96"/>
      <c r="H191" s="86">
        <v>1</v>
      </c>
      <c r="I191" s="86"/>
      <c r="J191" s="94">
        <f t="shared" si="14"/>
        <v>110.85</v>
      </c>
      <c r="K191" s="94"/>
      <c r="L191" s="94"/>
      <c r="M191" s="94"/>
      <c r="N191" s="94"/>
      <c r="O191" s="92">
        <f t="shared" si="15"/>
        <v>12287.722499999998</v>
      </c>
      <c r="P191" s="92"/>
      <c r="Q191" s="89">
        <f t="shared" si="13"/>
        <v>198440.64078492491</v>
      </c>
      <c r="R191" s="89"/>
      <c r="S191" s="89"/>
      <c r="T191" s="89"/>
      <c r="U191" s="90"/>
    </row>
    <row r="192" spans="1:22" x14ac:dyDescent="0.15">
      <c r="A192" s="120"/>
      <c r="B192" s="86" t="s">
        <v>515</v>
      </c>
      <c r="C192" s="86"/>
      <c r="D192" s="86"/>
      <c r="E192" s="13" t="s">
        <v>91</v>
      </c>
      <c r="F192" s="96">
        <v>81</v>
      </c>
      <c r="G192" s="96"/>
      <c r="H192" s="86">
        <v>1</v>
      </c>
      <c r="I192" s="86"/>
      <c r="J192" s="95">
        <f t="shared" ref="J192" si="16">$F$184-F192</f>
        <v>119.35</v>
      </c>
      <c r="K192" s="95"/>
      <c r="L192" s="95"/>
      <c r="M192" s="95"/>
      <c r="N192" s="95"/>
      <c r="O192" s="93">
        <f t="shared" ref="O192" si="17">H192*J192^2</f>
        <v>14244.422499999999</v>
      </c>
      <c r="P192" s="93"/>
      <c r="Q192" s="85">
        <f t="shared" ref="Q192" si="18">$N$112*J192/$O$202+$Q$93*1000/SUM(H$188:H$200)</f>
        <v>208344.70435435983</v>
      </c>
      <c r="R192" s="85"/>
      <c r="S192" s="85"/>
      <c r="T192" s="85"/>
      <c r="U192" s="91"/>
    </row>
    <row r="193" spans="1:21" x14ac:dyDescent="0.15">
      <c r="A193" s="120"/>
      <c r="B193" s="86" t="s">
        <v>516</v>
      </c>
      <c r="C193" s="86"/>
      <c r="D193" s="86"/>
      <c r="E193" s="13" t="s">
        <v>92</v>
      </c>
      <c r="F193" s="97"/>
      <c r="G193" s="97"/>
      <c r="H193" s="86"/>
      <c r="I193" s="86"/>
      <c r="J193" s="95"/>
      <c r="K193" s="95"/>
      <c r="L193" s="95"/>
      <c r="M193" s="95"/>
      <c r="N193" s="95"/>
      <c r="O193" s="93"/>
      <c r="P193" s="93"/>
      <c r="Q193" s="85"/>
      <c r="R193" s="85"/>
      <c r="S193" s="85"/>
      <c r="T193" s="85"/>
      <c r="U193" s="91"/>
    </row>
    <row r="194" spans="1:21" x14ac:dyDescent="0.15">
      <c r="A194" s="42"/>
      <c r="B194" s="43"/>
      <c r="C194" s="43"/>
      <c r="D194" s="43"/>
      <c r="E194" s="18"/>
      <c r="F194" s="43"/>
      <c r="G194" s="18"/>
      <c r="H194" s="43"/>
      <c r="I194" s="43"/>
      <c r="J194" s="62"/>
      <c r="K194" s="62"/>
      <c r="L194" s="62"/>
      <c r="M194" s="62"/>
      <c r="N194" s="62"/>
      <c r="O194" s="62"/>
      <c r="P194" s="62"/>
      <c r="Q194" s="64"/>
      <c r="R194" s="64"/>
      <c r="S194" s="64"/>
      <c r="T194" s="64"/>
      <c r="U194" s="65"/>
    </row>
    <row r="195" spans="1:21" x14ac:dyDescent="0.15">
      <c r="A195" s="120" t="s">
        <v>57</v>
      </c>
      <c r="B195" s="86" t="s">
        <v>517</v>
      </c>
      <c r="C195" s="86"/>
      <c r="D195" s="86"/>
      <c r="E195" s="13" t="s">
        <v>87</v>
      </c>
      <c r="F195" s="96">
        <v>316.5</v>
      </c>
      <c r="G195" s="96"/>
      <c r="H195" s="86">
        <v>1</v>
      </c>
      <c r="I195" s="86"/>
      <c r="J195" s="94">
        <f t="shared" ref="J195" si="19">$F$184-F195</f>
        <v>-116.15</v>
      </c>
      <c r="K195" s="94"/>
      <c r="L195" s="94"/>
      <c r="M195" s="94"/>
      <c r="N195" s="94"/>
      <c r="O195" s="92">
        <f t="shared" ref="O195:O198" si="20">H195*J195^2</f>
        <v>13490.822500000002</v>
      </c>
      <c r="P195" s="92"/>
      <c r="Q195" s="89">
        <f>$N$112*J195/$O$202+$Q$93*1000/SUM(H$188:H$200)</f>
        <v>-66056.115716454908</v>
      </c>
      <c r="R195" s="89"/>
      <c r="S195" s="89"/>
      <c r="T195" s="89"/>
      <c r="U195" s="90"/>
    </row>
    <row r="196" spans="1:21" x14ac:dyDescent="0.15">
      <c r="A196" s="120"/>
      <c r="B196" s="86" t="s">
        <v>518</v>
      </c>
      <c r="C196" s="86"/>
      <c r="D196" s="86"/>
      <c r="E196" s="13" t="s">
        <v>88</v>
      </c>
      <c r="F196" s="96">
        <v>318</v>
      </c>
      <c r="G196" s="96"/>
      <c r="H196" s="86">
        <v>1</v>
      </c>
      <c r="I196" s="86"/>
      <c r="J196" s="94">
        <f t="shared" ref="J196:J198" si="21">$F$184-F196</f>
        <v>-117.65</v>
      </c>
      <c r="K196" s="94"/>
      <c r="L196" s="94"/>
      <c r="M196" s="94"/>
      <c r="N196" s="94"/>
      <c r="O196" s="92">
        <f t="shared" si="20"/>
        <v>13841.522500000001</v>
      </c>
      <c r="P196" s="92"/>
      <c r="Q196" s="89">
        <f t="shared" ref="Q196:Q198" si="22">$N$112*J196/$O$202+$Q$93*1000/SUM(H$188:H$200)</f>
        <v>-67803.891640472822</v>
      </c>
      <c r="R196" s="89"/>
      <c r="S196" s="89"/>
      <c r="T196" s="89"/>
      <c r="U196" s="90"/>
    </row>
    <row r="197" spans="1:21" x14ac:dyDescent="0.15">
      <c r="A197" s="120"/>
      <c r="B197" s="86" t="s">
        <v>519</v>
      </c>
      <c r="C197" s="86"/>
      <c r="D197" s="86"/>
      <c r="E197" s="13" t="s">
        <v>89</v>
      </c>
      <c r="F197" s="96">
        <v>318</v>
      </c>
      <c r="G197" s="96"/>
      <c r="H197" s="86">
        <v>1</v>
      </c>
      <c r="I197" s="86"/>
      <c r="J197" s="94">
        <f t="shared" si="21"/>
        <v>-117.65</v>
      </c>
      <c r="K197" s="94"/>
      <c r="L197" s="94"/>
      <c r="M197" s="94"/>
      <c r="N197" s="94"/>
      <c r="O197" s="92">
        <f t="shared" si="20"/>
        <v>13841.522500000001</v>
      </c>
      <c r="P197" s="92"/>
      <c r="Q197" s="89">
        <f t="shared" si="22"/>
        <v>-67803.891640472822</v>
      </c>
      <c r="R197" s="89"/>
      <c r="S197" s="89"/>
      <c r="T197" s="89"/>
      <c r="U197" s="90"/>
    </row>
    <row r="198" spans="1:21" x14ac:dyDescent="0.15">
      <c r="A198" s="120"/>
      <c r="B198" s="86" t="s">
        <v>520</v>
      </c>
      <c r="C198" s="86"/>
      <c r="D198" s="86"/>
      <c r="E198" s="13" t="s">
        <v>90</v>
      </c>
      <c r="F198" s="96">
        <v>318</v>
      </c>
      <c r="G198" s="96"/>
      <c r="H198" s="86">
        <v>1</v>
      </c>
      <c r="I198" s="86"/>
      <c r="J198" s="94">
        <f t="shared" si="21"/>
        <v>-117.65</v>
      </c>
      <c r="K198" s="94"/>
      <c r="L198" s="94"/>
      <c r="M198" s="94"/>
      <c r="N198" s="94"/>
      <c r="O198" s="92">
        <f t="shared" si="20"/>
        <v>13841.522500000001</v>
      </c>
      <c r="P198" s="92"/>
      <c r="Q198" s="89">
        <f t="shared" si="22"/>
        <v>-67803.891640472822</v>
      </c>
      <c r="R198" s="89"/>
      <c r="S198" s="89"/>
      <c r="T198" s="89"/>
      <c r="U198" s="90"/>
    </row>
    <row r="199" spans="1:21" x14ac:dyDescent="0.15">
      <c r="A199" s="120"/>
      <c r="B199" s="86" t="s">
        <v>521</v>
      </c>
      <c r="C199" s="86"/>
      <c r="D199" s="86"/>
      <c r="E199" s="13" t="s">
        <v>91</v>
      </c>
      <c r="F199" s="96">
        <v>298.5</v>
      </c>
      <c r="G199" s="96"/>
      <c r="H199" s="86">
        <v>1</v>
      </c>
      <c r="I199" s="86"/>
      <c r="J199" s="95">
        <f t="shared" ref="J199" si="23">$F$184-F199</f>
        <v>-98.15</v>
      </c>
      <c r="K199" s="95"/>
      <c r="L199" s="95"/>
      <c r="M199" s="95"/>
      <c r="N199" s="95"/>
      <c r="O199" s="93">
        <f t="shared" ref="O199" si="24">H199*J199^2</f>
        <v>9633.4225000000006</v>
      </c>
      <c r="P199" s="93"/>
      <c r="Q199" s="85">
        <f t="shared" ref="Q199" si="25">$N$112*J199/$O$202+$Q$93*1000/SUM(H$188:H$200)</f>
        <v>-45082.804628239755</v>
      </c>
      <c r="R199" s="85"/>
      <c r="S199" s="85"/>
      <c r="T199" s="85"/>
      <c r="U199" s="91"/>
    </row>
    <row r="200" spans="1:21" x14ac:dyDescent="0.15">
      <c r="A200" s="120"/>
      <c r="B200" s="86" t="s">
        <v>522</v>
      </c>
      <c r="C200" s="86"/>
      <c r="D200" s="86"/>
      <c r="E200" s="13" t="s">
        <v>92</v>
      </c>
      <c r="F200" s="97"/>
      <c r="G200" s="97"/>
      <c r="H200" s="86"/>
      <c r="I200" s="86"/>
      <c r="J200" s="95"/>
      <c r="K200" s="95"/>
      <c r="L200" s="95"/>
      <c r="M200" s="95"/>
      <c r="N200" s="95"/>
      <c r="O200" s="93"/>
      <c r="P200" s="93"/>
      <c r="Q200" s="85"/>
      <c r="R200" s="85"/>
      <c r="S200" s="85"/>
      <c r="T200" s="85"/>
      <c r="U200" s="91"/>
    </row>
    <row r="201" spans="1:21" ht="14.25" thickBot="1" x14ac:dyDescent="0.2">
      <c r="A201" s="42"/>
      <c r="B201" s="43"/>
      <c r="C201" s="43"/>
      <c r="D201" s="43"/>
      <c r="E201" s="18"/>
      <c r="F201" s="43"/>
      <c r="G201" s="18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4"/>
    </row>
    <row r="202" spans="1:21" ht="14.25" thickBot="1" x14ac:dyDescent="0.2">
      <c r="A202" s="45"/>
      <c r="B202" s="46"/>
      <c r="C202" s="46"/>
      <c r="D202" s="46"/>
      <c r="E202" s="46"/>
      <c r="F202" s="46"/>
      <c r="G202" s="46"/>
      <c r="H202" s="46"/>
      <c r="I202" s="46"/>
      <c r="J202" s="83" t="s">
        <v>523</v>
      </c>
      <c r="K202" s="83"/>
      <c r="L202" s="83"/>
      <c r="M202" s="83"/>
      <c r="N202" s="83"/>
      <c r="O202" s="107">
        <f>SUM(O188:O201)</f>
        <v>129062.02500000002</v>
      </c>
      <c r="P202" s="107"/>
      <c r="Q202" s="47"/>
      <c r="R202" s="47"/>
      <c r="S202" s="47"/>
      <c r="T202" s="47"/>
      <c r="U202" s="48"/>
    </row>
    <row r="203" spans="1:21" x14ac:dyDescent="0.15">
      <c r="A203" s="26"/>
      <c r="B203" s="26"/>
      <c r="C203" s="26"/>
      <c r="D203" s="26"/>
      <c r="E203" s="50" t="s">
        <v>102</v>
      </c>
      <c r="F203" s="26" t="s">
        <v>103</v>
      </c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</row>
    <row r="204" spans="1:21" x14ac:dyDescent="0.15">
      <c r="E204" s="51"/>
    </row>
    <row r="207" spans="1:21" x14ac:dyDescent="0.15">
      <c r="A207" s="1" t="s">
        <v>661</v>
      </c>
      <c r="B207" s="26" t="s">
        <v>662</v>
      </c>
      <c r="C207" s="26"/>
      <c r="D207" s="26"/>
      <c r="E207" s="26"/>
      <c r="F207" s="26"/>
      <c r="G207" s="26"/>
    </row>
    <row r="208" spans="1:21" ht="14.25" thickBot="1" x14ac:dyDescent="0.2"/>
    <row r="209" spans="1:17" x14ac:dyDescent="0.15">
      <c r="A209" s="118"/>
      <c r="B209" s="99" t="s">
        <v>70</v>
      </c>
      <c r="C209" s="99"/>
      <c r="D209" s="99"/>
      <c r="E209" s="99" t="s">
        <v>104</v>
      </c>
      <c r="F209" s="99"/>
      <c r="G209" s="99" t="s">
        <v>105</v>
      </c>
      <c r="H209" s="99"/>
      <c r="I209" s="99" t="s">
        <v>106</v>
      </c>
      <c r="J209" s="99"/>
      <c r="K209" s="100" t="s">
        <v>524</v>
      </c>
      <c r="L209" s="99"/>
      <c r="M209" s="99"/>
      <c r="N209" s="99"/>
      <c r="O209" s="99"/>
      <c r="P209" s="99" t="s">
        <v>107</v>
      </c>
      <c r="Q209" s="113"/>
    </row>
    <row r="210" spans="1:17" x14ac:dyDescent="0.15">
      <c r="A210" s="119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7"/>
    </row>
    <row r="211" spans="1:17" x14ac:dyDescent="0.15">
      <c r="A211" s="120" t="s">
        <v>58</v>
      </c>
      <c r="B211" s="86" t="s">
        <v>71</v>
      </c>
      <c r="C211" s="86"/>
      <c r="D211" s="86"/>
      <c r="E211" s="88">
        <f>Q154</f>
        <v>68891.32783593265</v>
      </c>
      <c r="F211" s="88"/>
      <c r="G211" s="85">
        <f t="shared" ref="G211:G216" si="26">Q188</f>
        <v>203683.96855697868</v>
      </c>
      <c r="H211" s="85"/>
      <c r="I211" s="85">
        <f>E211+G211</f>
        <v>272575.29639291135</v>
      </c>
      <c r="J211" s="85"/>
      <c r="K211" s="85">
        <f t="shared" ref="K211:K216" si="27">$F$230</f>
        <v>277678</v>
      </c>
      <c r="L211" s="85"/>
      <c r="M211" s="85"/>
      <c r="N211" s="85"/>
      <c r="O211" s="85"/>
      <c r="P211" s="86" t="str">
        <f>IF(I211&lt;=K211,"OK","NG")</f>
        <v>OK</v>
      </c>
      <c r="Q211" s="87"/>
    </row>
    <row r="212" spans="1:17" x14ac:dyDescent="0.15">
      <c r="A212" s="120"/>
      <c r="B212" s="86" t="s">
        <v>512</v>
      </c>
      <c r="C212" s="86"/>
      <c r="D212" s="86"/>
      <c r="E212" s="88">
        <f t="shared" ref="E212:E215" si="28">Q155</f>
        <v>15323.950204193952</v>
      </c>
      <c r="F212" s="88"/>
      <c r="G212" s="85">
        <f t="shared" si="26"/>
        <v>198440.64078492491</v>
      </c>
      <c r="H212" s="85"/>
      <c r="I212" s="85">
        <f t="shared" ref="I212:I216" si="29">E212+G212</f>
        <v>213764.59098911885</v>
      </c>
      <c r="J212" s="85"/>
      <c r="K212" s="85">
        <f t="shared" si="27"/>
        <v>277678</v>
      </c>
      <c r="L212" s="85"/>
      <c r="M212" s="85"/>
      <c r="N212" s="85"/>
      <c r="O212" s="85"/>
      <c r="P212" s="86" t="str">
        <f t="shared" ref="P212:P216" si="30">IF(I212&lt;=K212,"OK","NG")</f>
        <v>OK</v>
      </c>
      <c r="Q212" s="87"/>
    </row>
    <row r="213" spans="1:17" x14ac:dyDescent="0.15">
      <c r="A213" s="120"/>
      <c r="B213" s="86" t="s">
        <v>525</v>
      </c>
      <c r="C213" s="86"/>
      <c r="D213" s="86"/>
      <c r="E213" s="88">
        <f t="shared" si="28"/>
        <v>-2463.6904597803509</v>
      </c>
      <c r="F213" s="88"/>
      <c r="G213" s="85">
        <f t="shared" si="26"/>
        <v>198440.64078492491</v>
      </c>
      <c r="H213" s="85"/>
      <c r="I213" s="85">
        <f t="shared" si="29"/>
        <v>195976.95032514457</v>
      </c>
      <c r="J213" s="85"/>
      <c r="K213" s="85">
        <f t="shared" si="27"/>
        <v>277678</v>
      </c>
      <c r="L213" s="85"/>
      <c r="M213" s="85"/>
      <c r="N213" s="85"/>
      <c r="O213" s="85"/>
      <c r="P213" s="86" t="str">
        <f t="shared" si="30"/>
        <v>OK</v>
      </c>
      <c r="Q213" s="87"/>
    </row>
    <row r="214" spans="1:17" x14ac:dyDescent="0.15">
      <c r="A214" s="120"/>
      <c r="B214" s="86" t="s">
        <v>514</v>
      </c>
      <c r="C214" s="86"/>
      <c r="D214" s="86"/>
      <c r="E214" s="88">
        <f t="shared" si="28"/>
        <v>-20251.331123754651</v>
      </c>
      <c r="F214" s="88"/>
      <c r="G214" s="85">
        <f t="shared" si="26"/>
        <v>198440.64078492491</v>
      </c>
      <c r="H214" s="85"/>
      <c r="I214" s="85">
        <f t="shared" si="29"/>
        <v>178189.30966117026</v>
      </c>
      <c r="J214" s="85"/>
      <c r="K214" s="85">
        <f t="shared" si="27"/>
        <v>277678</v>
      </c>
      <c r="L214" s="85"/>
      <c r="M214" s="85"/>
      <c r="N214" s="85"/>
      <c r="O214" s="85"/>
      <c r="P214" s="86" t="str">
        <f t="shared" si="30"/>
        <v>OK</v>
      </c>
      <c r="Q214" s="87"/>
    </row>
    <row r="215" spans="1:17" x14ac:dyDescent="0.15">
      <c r="A215" s="120"/>
      <c r="B215" s="86" t="s">
        <v>515</v>
      </c>
      <c r="C215" s="86"/>
      <c r="D215" s="86"/>
      <c r="E215" s="88">
        <f t="shared" si="28"/>
        <v>-60631.319987374482</v>
      </c>
      <c r="F215" s="88"/>
      <c r="G215" s="85">
        <f t="shared" si="26"/>
        <v>208344.70435435983</v>
      </c>
      <c r="H215" s="85"/>
      <c r="I215" s="85">
        <f t="shared" si="29"/>
        <v>147713.38436698535</v>
      </c>
      <c r="J215" s="85"/>
      <c r="K215" s="85">
        <f t="shared" si="27"/>
        <v>277678</v>
      </c>
      <c r="L215" s="85"/>
      <c r="M215" s="85"/>
      <c r="N215" s="85"/>
      <c r="O215" s="85"/>
      <c r="P215" s="86" t="str">
        <f t="shared" si="30"/>
        <v>OK</v>
      </c>
      <c r="Q215" s="87"/>
    </row>
    <row r="216" spans="1:17" x14ac:dyDescent="0.15">
      <c r="A216" s="120"/>
      <c r="B216" s="86" t="s">
        <v>516</v>
      </c>
      <c r="C216" s="86"/>
      <c r="D216" s="86"/>
      <c r="E216" s="88">
        <f>Q159</f>
        <v>0</v>
      </c>
      <c r="F216" s="88"/>
      <c r="G216" s="85">
        <f t="shared" si="26"/>
        <v>0</v>
      </c>
      <c r="H216" s="85"/>
      <c r="I216" s="85">
        <f t="shared" si="29"/>
        <v>0</v>
      </c>
      <c r="J216" s="85"/>
      <c r="K216" s="85">
        <f t="shared" si="27"/>
        <v>277678</v>
      </c>
      <c r="L216" s="85"/>
      <c r="M216" s="85"/>
      <c r="N216" s="85"/>
      <c r="O216" s="85"/>
      <c r="P216" s="86" t="str">
        <f t="shared" si="30"/>
        <v>OK</v>
      </c>
      <c r="Q216" s="87"/>
    </row>
    <row r="217" spans="1:17" x14ac:dyDescent="0.15">
      <c r="A217" s="42"/>
      <c r="B217" s="43"/>
      <c r="C217" s="43"/>
      <c r="D217" s="43"/>
      <c r="E217" s="66"/>
      <c r="F217" s="67"/>
      <c r="G217" s="18"/>
      <c r="H217" s="43"/>
      <c r="I217" s="43"/>
      <c r="J217" s="43"/>
      <c r="K217" s="43"/>
      <c r="L217" s="43"/>
      <c r="M217" s="43"/>
      <c r="N217" s="43"/>
      <c r="O217" s="43"/>
      <c r="P217" s="43"/>
      <c r="Q217" s="44"/>
    </row>
    <row r="218" spans="1:17" x14ac:dyDescent="0.15">
      <c r="A218" s="120" t="s">
        <v>57</v>
      </c>
      <c r="B218" s="86" t="s">
        <v>526</v>
      </c>
      <c r="C218" s="86"/>
      <c r="D218" s="86"/>
      <c r="E218" s="88">
        <f t="shared" ref="E218:E223" si="31">Q161</f>
        <v>68789.100016024764</v>
      </c>
      <c r="F218" s="88"/>
      <c r="G218" s="85">
        <f t="shared" ref="G218:G223" si="32">Q195</f>
        <v>-66056.115716454908</v>
      </c>
      <c r="H218" s="85"/>
      <c r="I218" s="85">
        <f t="shared" ref="I218:I223" si="33">E218+G218</f>
        <v>2732.9842995698564</v>
      </c>
      <c r="J218" s="85"/>
      <c r="K218" s="85">
        <f t="shared" ref="K218:K223" si="34">$F$230</f>
        <v>277678</v>
      </c>
      <c r="L218" s="85"/>
      <c r="M218" s="85"/>
      <c r="N218" s="85"/>
      <c r="O218" s="85"/>
      <c r="P218" s="86" t="str">
        <f t="shared" ref="P218:P223" si="35">IF(I218&lt;=K218,"OK","NG")</f>
        <v>OK</v>
      </c>
      <c r="Q218" s="87"/>
    </row>
    <row r="219" spans="1:17" x14ac:dyDescent="0.15">
      <c r="A219" s="120"/>
      <c r="B219" s="86" t="s">
        <v>527</v>
      </c>
      <c r="C219" s="86"/>
      <c r="D219" s="86"/>
      <c r="E219" s="88">
        <f t="shared" si="31"/>
        <v>15323.950204193952</v>
      </c>
      <c r="F219" s="88"/>
      <c r="G219" s="85">
        <f t="shared" si="32"/>
        <v>-67803.891640472822</v>
      </c>
      <c r="H219" s="85"/>
      <c r="I219" s="85">
        <f t="shared" si="33"/>
        <v>-52479.941436278867</v>
      </c>
      <c r="J219" s="85"/>
      <c r="K219" s="85">
        <f t="shared" si="34"/>
        <v>277678</v>
      </c>
      <c r="L219" s="85"/>
      <c r="M219" s="85"/>
      <c r="N219" s="85"/>
      <c r="O219" s="85"/>
      <c r="P219" s="86" t="str">
        <f t="shared" si="35"/>
        <v>OK</v>
      </c>
      <c r="Q219" s="87"/>
    </row>
    <row r="220" spans="1:17" x14ac:dyDescent="0.15">
      <c r="A220" s="120"/>
      <c r="B220" s="86" t="s">
        <v>528</v>
      </c>
      <c r="C220" s="86"/>
      <c r="D220" s="86"/>
      <c r="E220" s="88">
        <f t="shared" si="31"/>
        <v>-2463.6904597803509</v>
      </c>
      <c r="F220" s="88"/>
      <c r="G220" s="85">
        <f t="shared" si="32"/>
        <v>-67803.891640472822</v>
      </c>
      <c r="H220" s="85"/>
      <c r="I220" s="85">
        <f t="shared" si="33"/>
        <v>-70267.582100253174</v>
      </c>
      <c r="J220" s="85"/>
      <c r="K220" s="85">
        <f>$F$230</f>
        <v>277678</v>
      </c>
      <c r="L220" s="85"/>
      <c r="M220" s="85"/>
      <c r="N220" s="85"/>
      <c r="O220" s="85"/>
      <c r="P220" s="86" t="str">
        <f t="shared" si="35"/>
        <v>OK</v>
      </c>
      <c r="Q220" s="87"/>
    </row>
    <row r="221" spans="1:17" x14ac:dyDescent="0.15">
      <c r="A221" s="120"/>
      <c r="B221" s="86" t="s">
        <v>529</v>
      </c>
      <c r="C221" s="86"/>
      <c r="D221" s="86"/>
      <c r="E221" s="88">
        <f t="shared" si="31"/>
        <v>-20251.331123754651</v>
      </c>
      <c r="F221" s="88"/>
      <c r="G221" s="85">
        <f>Q198</f>
        <v>-67803.891640472822</v>
      </c>
      <c r="H221" s="85"/>
      <c r="I221" s="85">
        <f t="shared" si="33"/>
        <v>-88055.222764227481</v>
      </c>
      <c r="J221" s="85"/>
      <c r="K221" s="85">
        <f t="shared" si="34"/>
        <v>277678</v>
      </c>
      <c r="L221" s="85"/>
      <c r="M221" s="85"/>
      <c r="N221" s="85"/>
      <c r="O221" s="85"/>
      <c r="P221" s="86" t="str">
        <f t="shared" si="35"/>
        <v>OK</v>
      </c>
      <c r="Q221" s="87"/>
    </row>
    <row r="222" spans="1:17" x14ac:dyDescent="0.15">
      <c r="A222" s="120"/>
      <c r="B222" s="86" t="s">
        <v>530</v>
      </c>
      <c r="C222" s="86"/>
      <c r="D222" s="86"/>
      <c r="E222" s="88">
        <f t="shared" si="31"/>
        <v>-62266.965105900847</v>
      </c>
      <c r="F222" s="88"/>
      <c r="G222" s="85">
        <f t="shared" si="32"/>
        <v>-45082.804628239755</v>
      </c>
      <c r="H222" s="85"/>
      <c r="I222" s="85">
        <f t="shared" si="33"/>
        <v>-107349.7697341406</v>
      </c>
      <c r="J222" s="85"/>
      <c r="K222" s="85">
        <f t="shared" si="34"/>
        <v>277678</v>
      </c>
      <c r="L222" s="85"/>
      <c r="M222" s="85"/>
      <c r="N222" s="85"/>
      <c r="O222" s="85"/>
      <c r="P222" s="86" t="str">
        <f t="shared" si="35"/>
        <v>OK</v>
      </c>
      <c r="Q222" s="87"/>
    </row>
    <row r="223" spans="1:17" x14ac:dyDescent="0.15">
      <c r="A223" s="120"/>
      <c r="B223" s="86" t="s">
        <v>522</v>
      </c>
      <c r="C223" s="86"/>
      <c r="D223" s="86"/>
      <c r="E223" s="88">
        <f t="shared" si="31"/>
        <v>0</v>
      </c>
      <c r="F223" s="88"/>
      <c r="G223" s="85">
        <f t="shared" si="32"/>
        <v>0</v>
      </c>
      <c r="H223" s="85"/>
      <c r="I223" s="85">
        <f t="shared" si="33"/>
        <v>0</v>
      </c>
      <c r="J223" s="85"/>
      <c r="K223" s="85">
        <f t="shared" si="34"/>
        <v>277678</v>
      </c>
      <c r="L223" s="85"/>
      <c r="M223" s="85"/>
      <c r="N223" s="85"/>
      <c r="O223" s="85"/>
      <c r="P223" s="86" t="str">
        <f t="shared" si="35"/>
        <v>OK</v>
      </c>
      <c r="Q223" s="87"/>
    </row>
    <row r="224" spans="1:17" ht="14.25" thickBot="1" x14ac:dyDescent="0.2">
      <c r="A224" s="42"/>
      <c r="B224" s="43"/>
      <c r="C224" s="43"/>
      <c r="D224" s="43"/>
      <c r="E224" s="18"/>
      <c r="F224" s="43"/>
      <c r="G224" s="18"/>
      <c r="H224" s="43"/>
      <c r="I224" s="43"/>
      <c r="J224" s="43"/>
      <c r="K224" s="43"/>
      <c r="L224" s="43"/>
      <c r="M224" s="43"/>
      <c r="N224" s="43"/>
      <c r="O224" s="43"/>
      <c r="P224" s="43"/>
      <c r="Q224" s="44"/>
    </row>
    <row r="225" spans="1:22" ht="14.25" thickBot="1" x14ac:dyDescent="0.2">
      <c r="A225" s="52"/>
      <c r="B225" s="47"/>
      <c r="C225" s="47"/>
      <c r="D225" s="47"/>
      <c r="E225" s="47"/>
      <c r="F225" s="47"/>
      <c r="G225" s="47" t="s">
        <v>508</v>
      </c>
      <c r="H225" s="53" t="s">
        <v>370</v>
      </c>
      <c r="I225" s="82">
        <f>SUM(I211:J223)</f>
        <v>692800.00000000012</v>
      </c>
      <c r="J225" s="83"/>
      <c r="K225" s="83"/>
      <c r="L225" s="46"/>
      <c r="M225" s="47"/>
      <c r="N225" s="47"/>
      <c r="O225" s="47"/>
      <c r="P225" s="47"/>
      <c r="Q225" s="48"/>
    </row>
    <row r="226" spans="1:22" x14ac:dyDescent="0.15">
      <c r="C226" s="54"/>
      <c r="D226" s="54"/>
      <c r="E226" s="54"/>
      <c r="F226" s="54"/>
      <c r="G226" s="54"/>
      <c r="H226" s="54"/>
      <c r="I226" s="54"/>
      <c r="J226" s="54"/>
    </row>
    <row r="227" spans="1:22" x14ac:dyDescent="0.15">
      <c r="A227" s="1"/>
      <c r="B227" s="1" t="s">
        <v>108</v>
      </c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x14ac:dyDescent="0.15">
      <c r="A228" s="1"/>
      <c r="B228" s="1"/>
      <c r="C228" s="1"/>
      <c r="D228" s="1" t="s">
        <v>109</v>
      </c>
      <c r="E228" s="3" t="s">
        <v>13</v>
      </c>
      <c r="F228" s="73" t="s">
        <v>110</v>
      </c>
      <c r="G228" s="73"/>
      <c r="H228" s="3" t="s">
        <v>111</v>
      </c>
      <c r="I228" s="1" t="s">
        <v>52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x14ac:dyDescent="0.15">
      <c r="A229" s="1"/>
      <c r="B229" s="1"/>
      <c r="C229" s="1"/>
      <c r="D229" s="1"/>
      <c r="E229" s="3" t="s">
        <v>13</v>
      </c>
      <c r="F229" s="23">
        <v>340</v>
      </c>
      <c r="G229" s="3" t="s">
        <v>111</v>
      </c>
      <c r="H229" s="5">
        <f>H84</f>
        <v>816.7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x14ac:dyDescent="0.15">
      <c r="A230" s="1"/>
      <c r="B230" s="1"/>
      <c r="C230" s="1"/>
      <c r="D230" s="1"/>
      <c r="E230" s="3" t="s">
        <v>13</v>
      </c>
      <c r="F230" s="77">
        <f>F229*H229</f>
        <v>277678</v>
      </c>
      <c r="G230" s="77"/>
      <c r="H230" s="1" t="s">
        <v>112</v>
      </c>
      <c r="I230" s="3"/>
      <c r="J230" s="5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x14ac:dyDescent="0.15">
      <c r="A231" s="1"/>
      <c r="B231" s="1"/>
      <c r="C231" s="1"/>
      <c r="D231" s="1"/>
      <c r="E231" s="3"/>
      <c r="F231" s="25"/>
      <c r="G231" s="25"/>
      <c r="H231" s="1"/>
      <c r="I231" s="3"/>
      <c r="J231" s="5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x14ac:dyDescent="0.15">
      <c r="A232" s="2" t="s">
        <v>663</v>
      </c>
      <c r="B232" s="1" t="s">
        <v>664</v>
      </c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x14ac:dyDescent="0.15">
      <c r="A233" s="1"/>
      <c r="B233" s="1"/>
      <c r="C233" s="1"/>
      <c r="D233" s="1" t="s">
        <v>113</v>
      </c>
      <c r="E233" s="3" t="s">
        <v>13</v>
      </c>
      <c r="F233" s="1" t="s">
        <v>114</v>
      </c>
      <c r="G233" s="3" t="s">
        <v>38</v>
      </c>
      <c r="H233" s="1" t="s">
        <v>115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3"/>
      <c r="T233" s="26"/>
      <c r="U233" s="1"/>
      <c r="V233" s="1"/>
    </row>
    <row r="234" spans="1:22" x14ac:dyDescent="0.15">
      <c r="A234" s="1"/>
      <c r="B234" s="1"/>
      <c r="C234" s="1"/>
      <c r="D234" s="1"/>
      <c r="E234" s="3" t="s">
        <v>13</v>
      </c>
      <c r="F234" s="5" t="s">
        <v>116</v>
      </c>
      <c r="G234" s="84">
        <f>S67*1000</f>
        <v>289254.42435894266</v>
      </c>
      <c r="H234" s="84"/>
      <c r="I234" s="1" t="s">
        <v>153</v>
      </c>
      <c r="J234" s="3" t="s">
        <v>38</v>
      </c>
      <c r="K234" s="84">
        <f>Q98*1000</f>
        <v>485100</v>
      </c>
      <c r="L234" s="84"/>
      <c r="M234" s="1" t="s">
        <v>153</v>
      </c>
      <c r="N234" s="1"/>
      <c r="O234" s="1"/>
      <c r="P234" s="3"/>
      <c r="Q234" s="5"/>
      <c r="R234" s="1"/>
      <c r="S234" s="3"/>
      <c r="T234" s="26"/>
      <c r="U234" s="1"/>
      <c r="V234" s="1"/>
    </row>
    <row r="235" spans="1:22" x14ac:dyDescent="0.15">
      <c r="A235" s="1"/>
      <c r="B235" s="1"/>
      <c r="C235" s="1"/>
      <c r="D235" s="1"/>
      <c r="E235" s="3" t="s">
        <v>13</v>
      </c>
      <c r="F235" s="77">
        <f>(G234^2+K234^2)^0.5</f>
        <v>564792.11397754424</v>
      </c>
      <c r="G235" s="77"/>
      <c r="H235" s="1" t="s">
        <v>112</v>
      </c>
      <c r="I235" s="1"/>
      <c r="J235" s="5"/>
      <c r="K235" s="5"/>
      <c r="L235" s="1"/>
      <c r="M235" s="3"/>
      <c r="N235" s="5"/>
      <c r="O235" s="1"/>
      <c r="P235" s="3"/>
      <c r="Q235" s="5"/>
      <c r="R235" s="1"/>
      <c r="S235" s="3"/>
      <c r="T235" s="26"/>
      <c r="U235" s="1"/>
      <c r="V235" s="1"/>
    </row>
    <row r="236" spans="1:22" x14ac:dyDescent="0.15">
      <c r="A236" s="1"/>
      <c r="B236" s="1"/>
      <c r="C236" s="1"/>
      <c r="D236" s="1"/>
      <c r="E236" s="3"/>
      <c r="F236" s="25"/>
      <c r="G236" s="25"/>
      <c r="H236" s="1"/>
      <c r="I236" s="1"/>
      <c r="J236" s="5"/>
      <c r="K236" s="5"/>
      <c r="L236" s="1"/>
      <c r="M236" s="3"/>
      <c r="N236" s="5"/>
      <c r="O236" s="1"/>
      <c r="P236" s="3"/>
      <c r="Q236" s="5"/>
      <c r="R236" s="1"/>
      <c r="S236" s="3"/>
      <c r="T236" s="26"/>
      <c r="U236" s="1"/>
      <c r="V236" s="1"/>
    </row>
    <row r="237" spans="1:22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x14ac:dyDescent="0.15">
      <c r="A239" s="2" t="s">
        <v>665</v>
      </c>
      <c r="B239" s="1" t="s">
        <v>666</v>
      </c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x14ac:dyDescent="0.15">
      <c r="A241" s="1"/>
      <c r="B241" s="1" t="s">
        <v>118</v>
      </c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x14ac:dyDescent="0.15">
      <c r="A242" s="1"/>
      <c r="B242" s="1"/>
      <c r="C242" s="1"/>
      <c r="D242" s="73" t="s">
        <v>22</v>
      </c>
      <c r="E242" s="73" t="s">
        <v>13</v>
      </c>
      <c r="F242" s="75" t="s">
        <v>121</v>
      </c>
      <c r="G242" s="75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x14ac:dyDescent="0.15">
      <c r="A243" s="1"/>
      <c r="B243" s="1"/>
      <c r="C243" s="1"/>
      <c r="D243" s="73"/>
      <c r="E243" s="73"/>
      <c r="F243" s="73" t="s">
        <v>25</v>
      </c>
      <c r="G243" s="73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x14ac:dyDescent="0.15">
      <c r="A244" s="1"/>
      <c r="B244" s="1"/>
      <c r="C244" s="1"/>
      <c r="D244" s="1"/>
      <c r="E244" s="3"/>
      <c r="F244" s="3"/>
      <c r="G244" s="3"/>
      <c r="H244" s="3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x14ac:dyDescent="0.15">
      <c r="A245" s="1"/>
      <c r="B245" s="1"/>
      <c r="C245" s="1"/>
      <c r="D245" s="1"/>
      <c r="E245" s="73" t="s">
        <v>13</v>
      </c>
      <c r="F245" s="80">
        <f>MAX(I211:I223)</f>
        <v>272575.29639291135</v>
      </c>
      <c r="G245" s="81"/>
      <c r="H245" s="3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x14ac:dyDescent="0.15">
      <c r="A246" s="1"/>
      <c r="B246" s="1"/>
      <c r="C246" s="1"/>
      <c r="D246" s="1"/>
      <c r="E246" s="73"/>
      <c r="F246" s="73">
        <f>H84</f>
        <v>816.7</v>
      </c>
      <c r="G246" s="73"/>
      <c r="H246" s="3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x14ac:dyDescent="0.15">
      <c r="A247" s="1"/>
      <c r="B247" s="1"/>
      <c r="C247" s="1"/>
      <c r="D247" s="1"/>
      <c r="E247" s="3"/>
      <c r="F247" s="3"/>
      <c r="G247" s="3"/>
      <c r="H247" s="3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x14ac:dyDescent="0.15">
      <c r="A248" s="1"/>
      <c r="B248" s="1"/>
      <c r="C248" s="1"/>
      <c r="D248" s="1"/>
      <c r="E248" s="3" t="s">
        <v>13</v>
      </c>
      <c r="F248" s="76">
        <f>F245/F246</f>
        <v>333.75204652003345</v>
      </c>
      <c r="G248" s="76"/>
      <c r="H248" s="1" t="s">
        <v>35</v>
      </c>
      <c r="I248" s="3"/>
      <c r="J248" s="1" t="s">
        <v>122</v>
      </c>
      <c r="K248" s="73" t="s">
        <v>110</v>
      </c>
      <c r="L248" s="73"/>
      <c r="M248" s="3" t="s">
        <v>13</v>
      </c>
      <c r="N248" s="23">
        <f>F229</f>
        <v>340</v>
      </c>
      <c r="O248" s="1" t="s">
        <v>35</v>
      </c>
      <c r="P248" s="1"/>
      <c r="Q248" s="1"/>
      <c r="R248" s="1"/>
      <c r="S248" s="1"/>
      <c r="T248" s="18" t="str">
        <f>IF(F248&lt;=N248,"OK","NG")</f>
        <v>OK</v>
      </c>
      <c r="U248" s="1"/>
      <c r="V248" s="1"/>
    </row>
    <row r="249" spans="1:22" x14ac:dyDescent="0.15">
      <c r="A249" s="1"/>
      <c r="B249" s="1"/>
      <c r="C249" s="1"/>
      <c r="D249" s="1"/>
      <c r="E249" s="1"/>
      <c r="F249" s="3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x14ac:dyDescent="0.15">
      <c r="A250" s="1"/>
      <c r="B250" s="1" t="s">
        <v>119</v>
      </c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x14ac:dyDescent="0.15">
      <c r="A251" s="1"/>
      <c r="B251" s="1"/>
      <c r="C251" s="1"/>
      <c r="D251" s="73" t="s">
        <v>120</v>
      </c>
      <c r="E251" s="73" t="s">
        <v>13</v>
      </c>
      <c r="F251" s="17"/>
      <c r="G251" s="8" t="s">
        <v>113</v>
      </c>
      <c r="H251" s="33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x14ac:dyDescent="0.15">
      <c r="A252" s="1"/>
      <c r="B252" s="1"/>
      <c r="C252" s="1"/>
      <c r="D252" s="73"/>
      <c r="E252" s="73"/>
      <c r="F252" s="3" t="s">
        <v>179</v>
      </c>
      <c r="G252" s="3" t="s">
        <v>531</v>
      </c>
      <c r="H252" s="1" t="s">
        <v>24</v>
      </c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x14ac:dyDescent="0.15">
      <c r="A254" s="1"/>
      <c r="B254" s="1"/>
      <c r="C254" s="1"/>
      <c r="D254" s="1"/>
      <c r="E254" s="73" t="s">
        <v>13</v>
      </c>
      <c r="F254" s="78">
        <f>F235</f>
        <v>564792.11397754424</v>
      </c>
      <c r="G254" s="78"/>
      <c r="H254" s="78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x14ac:dyDescent="0.15">
      <c r="A255" s="1"/>
      <c r="B255" s="1"/>
      <c r="C255" s="1"/>
      <c r="D255" s="1"/>
      <c r="E255" s="73"/>
      <c r="F255" s="3">
        <f>F182</f>
        <v>10</v>
      </c>
      <c r="G255" s="3" t="s">
        <v>111</v>
      </c>
      <c r="H255" s="1">
        <f>H84</f>
        <v>816.7</v>
      </c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8"/>
      <c r="T255" s="1"/>
      <c r="U255" s="1"/>
      <c r="V255" s="1"/>
    </row>
    <row r="256" spans="1:22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8"/>
      <c r="T256" s="1"/>
      <c r="U256" s="1"/>
      <c r="V256" s="1"/>
    </row>
    <row r="257" spans="1:27" x14ac:dyDescent="0.15">
      <c r="A257" s="1"/>
      <c r="B257" s="1"/>
      <c r="C257" s="1"/>
      <c r="D257" s="1"/>
      <c r="E257" s="3" t="s">
        <v>13</v>
      </c>
      <c r="F257" s="73">
        <f>ROUNDUP(F254/(F255*H255),1)</f>
        <v>69.199999999999989</v>
      </c>
      <c r="G257" s="73"/>
      <c r="H257" s="1" t="s">
        <v>35</v>
      </c>
      <c r="I257" s="1"/>
      <c r="J257" s="1" t="s">
        <v>122</v>
      </c>
      <c r="K257" s="1" t="s">
        <v>124</v>
      </c>
      <c r="L257" s="3" t="s">
        <v>13</v>
      </c>
      <c r="M257" s="23">
        <v>195.5</v>
      </c>
      <c r="N257" s="1" t="s">
        <v>35</v>
      </c>
      <c r="O257" s="1"/>
      <c r="P257" s="1"/>
      <c r="Q257" s="1"/>
      <c r="R257" s="1"/>
      <c r="S257" s="18"/>
      <c r="T257" s="18" t="str">
        <f>IF(F257&lt;=M257,"OK","NG")</f>
        <v>OK</v>
      </c>
      <c r="U257" s="1"/>
      <c r="V257" s="1"/>
    </row>
    <row r="258" spans="1:27" x14ac:dyDescent="0.15">
      <c r="A258" s="1"/>
      <c r="B258" s="1"/>
      <c r="C258" s="1"/>
      <c r="D258" s="1"/>
      <c r="E258" s="1"/>
      <c r="F258" s="1"/>
      <c r="G258" s="3"/>
      <c r="H258" s="26"/>
      <c r="I258" s="1"/>
      <c r="J258" s="1"/>
      <c r="K258" s="1"/>
      <c r="L258" s="3"/>
      <c r="M258" s="1"/>
      <c r="N258" s="1"/>
      <c r="O258" s="1"/>
      <c r="P258" s="1"/>
      <c r="Q258" s="1"/>
      <c r="R258" s="1"/>
      <c r="S258" s="18"/>
      <c r="T258" s="1"/>
      <c r="U258" s="1"/>
      <c r="V258" s="1"/>
    </row>
    <row r="259" spans="1:27" x14ac:dyDescent="0.15">
      <c r="A259" s="1"/>
      <c r="B259" s="1" t="s">
        <v>125</v>
      </c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7" x14ac:dyDescent="0.15">
      <c r="A260" s="1"/>
      <c r="B260" s="1"/>
      <c r="C260" s="1"/>
      <c r="D260" s="73" t="s">
        <v>126</v>
      </c>
      <c r="E260" s="73" t="s">
        <v>13</v>
      </c>
      <c r="F260" s="73" t="s">
        <v>127</v>
      </c>
      <c r="G260" s="8" t="s">
        <v>22</v>
      </c>
      <c r="H260" s="73" t="s">
        <v>129</v>
      </c>
      <c r="I260" s="73" t="s">
        <v>38</v>
      </c>
      <c r="J260" s="73" t="s">
        <v>127</v>
      </c>
      <c r="K260" s="8" t="s">
        <v>120</v>
      </c>
      <c r="L260" s="73" t="s">
        <v>129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7" x14ac:dyDescent="0.15">
      <c r="A261" s="1"/>
      <c r="B261" s="1"/>
      <c r="C261" s="1"/>
      <c r="D261" s="73"/>
      <c r="E261" s="73"/>
      <c r="F261" s="73"/>
      <c r="G261" s="3" t="s">
        <v>128</v>
      </c>
      <c r="H261" s="73"/>
      <c r="I261" s="73"/>
      <c r="J261" s="73"/>
      <c r="K261" s="3" t="s">
        <v>130</v>
      </c>
      <c r="L261" s="73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7" x14ac:dyDescent="0.15">
      <c r="A263" s="1"/>
      <c r="B263" s="1"/>
      <c r="C263" s="1"/>
      <c r="D263" s="1"/>
      <c r="E263" s="73" t="s">
        <v>13</v>
      </c>
      <c r="F263" s="73" t="s">
        <v>127</v>
      </c>
      <c r="G263" s="74">
        <f>F248</f>
        <v>333.75204652003345</v>
      </c>
      <c r="H263" s="74"/>
      <c r="I263" s="73" t="s">
        <v>129</v>
      </c>
      <c r="J263" s="73" t="s">
        <v>38</v>
      </c>
      <c r="K263" s="73" t="s">
        <v>127</v>
      </c>
      <c r="L263" s="75">
        <f>F257</f>
        <v>69.199999999999989</v>
      </c>
      <c r="M263" s="75"/>
      <c r="N263" s="73" t="s">
        <v>129</v>
      </c>
      <c r="O263" s="1"/>
      <c r="P263" s="1"/>
      <c r="Q263" s="1"/>
      <c r="R263" s="1"/>
      <c r="S263" s="1"/>
      <c r="T263" s="1"/>
      <c r="U263" s="1"/>
      <c r="V263" s="1"/>
      <c r="AA263" s="123"/>
    </row>
    <row r="264" spans="1:27" x14ac:dyDescent="0.15">
      <c r="A264" s="1"/>
      <c r="B264" s="1"/>
      <c r="C264" s="1"/>
      <c r="D264" s="1"/>
      <c r="E264" s="73"/>
      <c r="F264" s="73"/>
      <c r="G264" s="73">
        <f>N248</f>
        <v>340</v>
      </c>
      <c r="H264" s="73"/>
      <c r="I264" s="73"/>
      <c r="J264" s="73"/>
      <c r="K264" s="73"/>
      <c r="L264" s="73">
        <f>M257</f>
        <v>195.5</v>
      </c>
      <c r="M264" s="73"/>
      <c r="N264" s="73"/>
      <c r="O264" s="1"/>
      <c r="P264" s="1"/>
      <c r="Q264" s="1"/>
      <c r="R264" s="1"/>
      <c r="S264" s="1"/>
      <c r="T264" s="1"/>
      <c r="U264" s="1"/>
      <c r="V264" s="1"/>
      <c r="AA264" s="123"/>
    </row>
    <row r="265" spans="1:27" x14ac:dyDescent="0.15">
      <c r="A265" s="1"/>
      <c r="B265" s="1"/>
      <c r="C265" s="1"/>
      <c r="D265" s="1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1"/>
      <c r="R265" s="1"/>
      <c r="S265" s="3"/>
      <c r="T265" s="1"/>
      <c r="U265" s="1"/>
      <c r="V265" s="1"/>
    </row>
    <row r="266" spans="1:27" x14ac:dyDescent="0.15">
      <c r="A266" s="1"/>
      <c r="B266" s="1"/>
      <c r="C266" s="1"/>
      <c r="D266" s="1"/>
      <c r="E266" s="3" t="s">
        <v>13</v>
      </c>
      <c r="F266" s="76">
        <f>(G263/G264)^2+(L263/L264)^2</f>
        <v>1.0888756730118243</v>
      </c>
      <c r="G266" s="76"/>
      <c r="H266" s="1"/>
      <c r="I266" s="1"/>
      <c r="J266" s="9" t="s">
        <v>122</v>
      </c>
      <c r="K266" s="9">
        <v>1.2</v>
      </c>
      <c r="L266" s="3"/>
      <c r="M266" s="1"/>
      <c r="N266" s="1"/>
      <c r="O266" s="1"/>
      <c r="P266" s="1"/>
      <c r="Q266" s="1"/>
      <c r="R266" s="1"/>
      <c r="S266" s="3"/>
      <c r="T266" s="9" t="str">
        <f>IF(F266&lt;=K266,"OK","NG")</f>
        <v>OK</v>
      </c>
      <c r="U266" s="1"/>
      <c r="V266" s="1"/>
    </row>
    <row r="267" spans="1:27" x14ac:dyDescent="0.15">
      <c r="A267" s="1"/>
      <c r="B267" s="1"/>
      <c r="C267" s="1"/>
      <c r="D267" s="1"/>
      <c r="E267" s="9"/>
      <c r="F267" s="9"/>
      <c r="G267" s="9"/>
      <c r="H267" s="1"/>
      <c r="I267" s="1"/>
      <c r="J267" s="1"/>
      <c r="K267" s="1"/>
      <c r="L267" s="3"/>
      <c r="M267" s="9"/>
      <c r="N267" s="9"/>
      <c r="O267" s="1"/>
      <c r="P267" s="1"/>
      <c r="Q267" s="9"/>
      <c r="R267" s="1"/>
      <c r="S267" s="3"/>
      <c r="T267" s="1"/>
      <c r="U267" s="1"/>
      <c r="V267" s="1"/>
    </row>
    <row r="268" spans="1:2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7" x14ac:dyDescent="0.15">
      <c r="A269" s="2" t="s">
        <v>667</v>
      </c>
      <c r="B269" s="1" t="s">
        <v>668</v>
      </c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7" x14ac:dyDescent="0.15">
      <c r="A271" s="1"/>
      <c r="B271" s="1" t="s">
        <v>131</v>
      </c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7" x14ac:dyDescent="0.15">
      <c r="A272" s="1"/>
      <c r="B272" s="1"/>
      <c r="C272" s="1"/>
      <c r="D272" s="2" t="s">
        <v>31</v>
      </c>
      <c r="E272" s="3" t="s">
        <v>13</v>
      </c>
      <c r="F272" s="73" t="s">
        <v>177</v>
      </c>
      <c r="G272" s="73"/>
      <c r="H272" s="3" t="s">
        <v>111</v>
      </c>
      <c r="I272" s="3" t="s">
        <v>132</v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x14ac:dyDescent="0.15">
      <c r="A273" s="1"/>
      <c r="B273" s="1"/>
      <c r="C273" s="1"/>
      <c r="D273" s="1"/>
      <c r="E273" s="3" t="s">
        <v>13</v>
      </c>
      <c r="F273" s="77">
        <f>F245</f>
        <v>272575.29639291135</v>
      </c>
      <c r="G273" s="77"/>
      <c r="H273" s="3" t="s">
        <v>111</v>
      </c>
      <c r="I273" s="1">
        <v>2</v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x14ac:dyDescent="0.15">
      <c r="A274" s="1"/>
      <c r="B274" s="1"/>
      <c r="C274" s="1"/>
      <c r="D274" s="1"/>
      <c r="E274" s="3" t="s">
        <v>13</v>
      </c>
      <c r="F274" s="77">
        <f>F273*I273</f>
        <v>545150.59278582269</v>
      </c>
      <c r="G274" s="77"/>
      <c r="H274" s="1" t="s">
        <v>117</v>
      </c>
      <c r="I274" s="1"/>
      <c r="J274" s="3"/>
      <c r="K274" s="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x14ac:dyDescent="0.15">
      <c r="A275" s="1"/>
      <c r="B275" s="1"/>
      <c r="C275" s="1"/>
      <c r="D275" s="1"/>
      <c r="E275" s="3"/>
      <c r="F275" s="25"/>
      <c r="G275" s="25"/>
      <c r="H275" s="1"/>
      <c r="I275" s="1"/>
      <c r="J275" s="3"/>
      <c r="K275" s="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x14ac:dyDescent="0.15">
      <c r="A276" s="1"/>
      <c r="B276" s="1" t="s">
        <v>133</v>
      </c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x14ac:dyDescent="0.15">
      <c r="A277" s="1"/>
      <c r="B277" s="1"/>
      <c r="C277" s="73" t="s">
        <v>134</v>
      </c>
      <c r="D277" s="73"/>
      <c r="E277" s="3" t="s">
        <v>13</v>
      </c>
      <c r="F277" s="1">
        <v>0.85</v>
      </c>
      <c r="G277" s="3" t="s">
        <v>111</v>
      </c>
      <c r="H277" s="26">
        <v>1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x14ac:dyDescent="0.15">
      <c r="A278" s="1"/>
      <c r="B278" s="1"/>
      <c r="C278" s="3"/>
      <c r="D278" s="3"/>
      <c r="E278" s="3" t="s">
        <v>13</v>
      </c>
      <c r="F278" s="1">
        <f>F277*H277</f>
        <v>0.85</v>
      </c>
      <c r="G278" s="1" t="s">
        <v>171</v>
      </c>
      <c r="H278" s="1"/>
      <c r="I278" s="3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x14ac:dyDescent="0.15">
      <c r="A279" s="1"/>
      <c r="B279" s="1"/>
      <c r="C279" s="3"/>
      <c r="D279" s="3"/>
      <c r="E279" s="3"/>
      <c r="F279" s="1"/>
      <c r="G279" s="1"/>
      <c r="H279" s="1"/>
      <c r="I279" s="3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x14ac:dyDescent="0.15">
      <c r="A280" s="1"/>
      <c r="B280" s="1" t="s">
        <v>135</v>
      </c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x14ac:dyDescent="0.15">
      <c r="A283" s="1"/>
      <c r="B283" s="1"/>
      <c r="J283" s="1"/>
      <c r="K283" s="1"/>
      <c r="L283" s="1"/>
      <c r="M283" s="1"/>
      <c r="N283" s="1"/>
      <c r="O283" s="1" t="s">
        <v>136</v>
      </c>
      <c r="P283" s="1"/>
      <c r="Q283" s="1"/>
      <c r="R283" s="1"/>
      <c r="S283" s="1"/>
      <c r="T283" s="1"/>
      <c r="U283" s="1"/>
    </row>
    <row r="284" spans="1:22" x14ac:dyDescent="0.15">
      <c r="A284" s="1"/>
      <c r="B284" s="1"/>
      <c r="J284" s="1"/>
      <c r="K284" s="1"/>
      <c r="L284" s="1"/>
      <c r="M284" s="1"/>
      <c r="N284" s="1"/>
      <c r="O284" s="1"/>
      <c r="P284" s="1"/>
      <c r="Q284" s="1"/>
      <c r="R284" s="1" t="s">
        <v>139</v>
      </c>
      <c r="S284" s="3" t="s">
        <v>13</v>
      </c>
      <c r="T284" s="1">
        <v>570</v>
      </c>
      <c r="U284" s="1" t="s">
        <v>140</v>
      </c>
    </row>
    <row r="285" spans="1:22" x14ac:dyDescent="0.15">
      <c r="A285" s="1"/>
      <c r="B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2" x14ac:dyDescent="0.15">
      <c r="A286" s="1"/>
      <c r="B286" s="1"/>
      <c r="J286" s="1"/>
      <c r="K286" s="1"/>
      <c r="L286" s="1"/>
      <c r="M286" s="1"/>
      <c r="N286" s="1"/>
      <c r="O286" s="1" t="s">
        <v>137</v>
      </c>
      <c r="P286" s="1"/>
      <c r="Q286" s="1"/>
      <c r="R286" s="1"/>
      <c r="S286" s="1"/>
      <c r="T286" s="1"/>
      <c r="U286" s="1"/>
    </row>
    <row r="287" spans="1:22" x14ac:dyDescent="0.15">
      <c r="A287" s="1"/>
      <c r="B287" s="1"/>
      <c r="J287" s="1"/>
      <c r="K287" s="1"/>
      <c r="L287" s="1"/>
      <c r="M287" s="1"/>
      <c r="N287" s="1"/>
      <c r="O287" s="1"/>
      <c r="P287" s="1"/>
      <c r="Q287" s="1"/>
      <c r="R287" s="1" t="s">
        <v>132</v>
      </c>
      <c r="S287" s="3" t="s">
        <v>13</v>
      </c>
      <c r="T287" s="1">
        <v>2</v>
      </c>
      <c r="U287" s="1" t="s">
        <v>142</v>
      </c>
    </row>
    <row r="288" spans="1:22" x14ac:dyDescent="0.15">
      <c r="A288" s="1"/>
      <c r="B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2" x14ac:dyDescent="0.15">
      <c r="A289" s="1"/>
      <c r="B289" s="1"/>
      <c r="J289" s="1"/>
      <c r="K289" s="1"/>
      <c r="L289" s="1"/>
      <c r="M289" s="1"/>
      <c r="N289" s="1"/>
      <c r="O289" s="1" t="s">
        <v>138</v>
      </c>
      <c r="P289" s="1"/>
      <c r="Q289" s="1"/>
      <c r="R289" s="1"/>
      <c r="S289" s="1"/>
      <c r="T289" s="1"/>
      <c r="U289" s="1"/>
    </row>
    <row r="290" spans="1:22" x14ac:dyDescent="0.15">
      <c r="A290" s="1"/>
      <c r="B290" s="1"/>
      <c r="J290" s="1"/>
      <c r="K290" s="1"/>
      <c r="L290" s="1"/>
      <c r="M290" s="1"/>
      <c r="N290" s="1"/>
      <c r="O290" s="1"/>
      <c r="P290" s="1"/>
      <c r="Q290" s="1"/>
      <c r="R290" s="1" t="s">
        <v>141</v>
      </c>
      <c r="S290" s="3" t="s">
        <v>13</v>
      </c>
      <c r="T290" s="1">
        <f>S82</f>
        <v>220</v>
      </c>
      <c r="U290" s="1" t="s">
        <v>143</v>
      </c>
    </row>
    <row r="291" spans="1:22" x14ac:dyDescent="0.15">
      <c r="A291" s="1"/>
      <c r="B291" s="1"/>
      <c r="J291" s="1"/>
      <c r="K291" s="1"/>
      <c r="L291" s="1"/>
      <c r="M291" s="1"/>
      <c r="N291" s="1"/>
      <c r="O291" s="1"/>
      <c r="P291" s="1"/>
      <c r="Q291" s="1"/>
      <c r="R291" s="1"/>
      <c r="S291" s="3"/>
      <c r="T291" s="1"/>
      <c r="U291" s="1"/>
    </row>
    <row r="292" spans="1:22" x14ac:dyDescent="0.15">
      <c r="A292" s="1"/>
      <c r="B292" s="1"/>
      <c r="J292" s="1"/>
      <c r="K292" s="1"/>
      <c r="L292" s="1"/>
      <c r="M292" s="1"/>
      <c r="N292" s="1"/>
      <c r="O292" s="1" t="s">
        <v>146</v>
      </c>
      <c r="P292" s="3" t="s">
        <v>13</v>
      </c>
      <c r="Q292" s="1">
        <f>T290/2</f>
        <v>110</v>
      </c>
      <c r="R292" s="1" t="s">
        <v>143</v>
      </c>
      <c r="S292" s="1"/>
      <c r="T292" s="1"/>
      <c r="U292" s="1"/>
    </row>
    <row r="293" spans="1:22" x14ac:dyDescent="0.15">
      <c r="A293" s="1"/>
      <c r="B293" s="1"/>
      <c r="J293" s="1"/>
      <c r="K293" s="1"/>
      <c r="L293" s="1"/>
      <c r="M293" s="1"/>
      <c r="N293" s="1"/>
      <c r="O293" s="1" t="s">
        <v>144</v>
      </c>
      <c r="P293" s="3" t="s">
        <v>13</v>
      </c>
      <c r="Q293" s="1">
        <f>Q292*2^0.5</f>
        <v>155.56349186104046</v>
      </c>
      <c r="R293" s="1" t="s">
        <v>143</v>
      </c>
      <c r="S293" s="1"/>
      <c r="T293" s="1"/>
      <c r="U293" s="1"/>
    </row>
    <row r="294" spans="1:22" x14ac:dyDescent="0.15">
      <c r="A294" s="1"/>
      <c r="B294" s="1"/>
      <c r="J294" s="1"/>
      <c r="K294" s="1"/>
      <c r="L294" s="1"/>
      <c r="M294" s="1"/>
      <c r="N294" s="1"/>
      <c r="O294" s="1"/>
      <c r="P294" s="3"/>
      <c r="Q294" s="1"/>
      <c r="R294" s="1"/>
      <c r="S294" s="1"/>
      <c r="T294" s="1"/>
      <c r="U294" s="1"/>
    </row>
    <row r="295" spans="1:22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x14ac:dyDescent="0.15">
      <c r="A297" s="1"/>
      <c r="B297" s="1"/>
      <c r="C297" s="1"/>
      <c r="D297" s="35" t="s">
        <v>145</v>
      </c>
      <c r="E297" s="3" t="s">
        <v>13</v>
      </c>
      <c r="F297" s="3" t="s">
        <v>132</v>
      </c>
      <c r="G297" s="3" t="s">
        <v>123</v>
      </c>
      <c r="H297" s="3" t="s">
        <v>9</v>
      </c>
      <c r="I297" s="3" t="s">
        <v>162</v>
      </c>
      <c r="J297" s="3" t="s">
        <v>123</v>
      </c>
      <c r="K297" s="3" t="s">
        <v>163</v>
      </c>
      <c r="L297" s="3" t="s">
        <v>123</v>
      </c>
      <c r="M297" s="3" t="s">
        <v>164</v>
      </c>
      <c r="N297" s="3" t="s">
        <v>38</v>
      </c>
      <c r="O297" s="3" t="s">
        <v>165</v>
      </c>
      <c r="P297" s="3" t="s">
        <v>123</v>
      </c>
      <c r="Q297" s="3" t="s">
        <v>166</v>
      </c>
      <c r="R297" s="3" t="s">
        <v>167</v>
      </c>
      <c r="S297" s="3" t="s">
        <v>168</v>
      </c>
      <c r="T297" s="3" t="s">
        <v>54</v>
      </c>
      <c r="U297" s="1"/>
      <c r="V297" s="1"/>
    </row>
    <row r="298" spans="1:22" x14ac:dyDescent="0.15">
      <c r="A298" s="1"/>
      <c r="B298" s="1"/>
      <c r="C298" s="1"/>
      <c r="D298" s="1"/>
      <c r="E298" s="3" t="s">
        <v>13</v>
      </c>
      <c r="F298" s="10">
        <f>T287</f>
        <v>2</v>
      </c>
      <c r="G298" s="3" t="s">
        <v>111</v>
      </c>
      <c r="H298" s="3" t="s">
        <v>9</v>
      </c>
      <c r="I298" s="3" t="s">
        <v>169</v>
      </c>
      <c r="J298" s="3" t="s">
        <v>111</v>
      </c>
      <c r="K298" s="3">
        <f>Q292</f>
        <v>110</v>
      </c>
      <c r="L298" s="3" t="s">
        <v>170</v>
      </c>
      <c r="M298" s="3">
        <f>Q293</f>
        <v>155.56349186104046</v>
      </c>
      <c r="N298" s="3" t="s">
        <v>38</v>
      </c>
      <c r="O298" s="3" t="s">
        <v>165</v>
      </c>
      <c r="P298" s="3" t="s">
        <v>111</v>
      </c>
      <c r="Q298" s="3">
        <f>T290</f>
        <v>220</v>
      </c>
      <c r="R298" s="3" t="s">
        <v>111</v>
      </c>
      <c r="S298" s="3">
        <f>T284-Q292</f>
        <v>460</v>
      </c>
      <c r="T298" s="3" t="s">
        <v>54</v>
      </c>
      <c r="U298" s="1"/>
      <c r="V298" s="1"/>
    </row>
    <row r="299" spans="1:22" x14ac:dyDescent="0.15">
      <c r="A299" s="1"/>
      <c r="B299" s="1"/>
      <c r="C299" s="1"/>
      <c r="D299" s="1"/>
      <c r="E299" s="3" t="s">
        <v>13</v>
      </c>
      <c r="F299" s="77">
        <f>F298*((PI()*K298*M298)+(PI()*Q298*S298))</f>
        <v>743376.12019000656</v>
      </c>
      <c r="G299" s="77"/>
      <c r="H299" s="1" t="s">
        <v>20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x14ac:dyDescent="0.15">
      <c r="A301" s="1"/>
      <c r="B301" s="1"/>
      <c r="C301" s="1"/>
      <c r="D301" s="73" t="s">
        <v>172</v>
      </c>
      <c r="E301" s="73" t="s">
        <v>13</v>
      </c>
      <c r="F301" s="8" t="s">
        <v>31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x14ac:dyDescent="0.15">
      <c r="A302" s="1"/>
      <c r="B302" s="1"/>
      <c r="C302" s="1"/>
      <c r="D302" s="73"/>
      <c r="E302" s="73"/>
      <c r="F302" s="3" t="s">
        <v>25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x14ac:dyDescent="0.15">
      <c r="A303" s="1"/>
      <c r="B303" s="1"/>
      <c r="C303" s="1"/>
      <c r="D303" s="3"/>
      <c r="E303" s="3"/>
      <c r="F303" s="3"/>
      <c r="G303" s="3"/>
      <c r="H303" s="3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x14ac:dyDescent="0.15">
      <c r="A304" s="1"/>
      <c r="B304" s="1"/>
      <c r="C304" s="1"/>
      <c r="D304" s="3"/>
      <c r="E304" s="73" t="s">
        <v>13</v>
      </c>
      <c r="F304" s="78">
        <f>F274</f>
        <v>545150.59278582269</v>
      </c>
      <c r="G304" s="78"/>
      <c r="H304" s="3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x14ac:dyDescent="0.15">
      <c r="A305" s="1"/>
      <c r="B305" s="1"/>
      <c r="C305" s="1"/>
      <c r="D305" s="3"/>
      <c r="E305" s="73"/>
      <c r="F305" s="77">
        <f>F299</f>
        <v>743376.12019000656</v>
      </c>
      <c r="G305" s="77"/>
      <c r="H305" s="3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x14ac:dyDescent="0.15">
      <c r="A307" s="1"/>
      <c r="B307" s="1"/>
      <c r="C307" s="1"/>
      <c r="D307" s="1"/>
      <c r="E307" s="3" t="s">
        <v>13</v>
      </c>
      <c r="F307" s="76">
        <f>F304/F305</f>
        <v>0.7333442358176403</v>
      </c>
      <c r="G307" s="76"/>
      <c r="H307" s="1" t="s">
        <v>35</v>
      </c>
      <c r="I307" s="1"/>
      <c r="J307" s="1" t="s">
        <v>36</v>
      </c>
      <c r="K307" s="73" t="s">
        <v>134</v>
      </c>
      <c r="L307" s="73"/>
      <c r="M307" s="3" t="s">
        <v>13</v>
      </c>
      <c r="N307" s="1">
        <f>F278</f>
        <v>0.85</v>
      </c>
      <c r="O307" s="1" t="s">
        <v>35</v>
      </c>
      <c r="P307" s="1"/>
      <c r="Q307" s="1"/>
      <c r="R307" s="1"/>
      <c r="S307" s="1"/>
      <c r="T307" s="18" t="str">
        <f>IF(F307&lt;=N307,"OK","NG")</f>
        <v>OK</v>
      </c>
      <c r="U307" s="1"/>
      <c r="V307" s="1"/>
    </row>
    <row r="308" spans="1:22" x14ac:dyDescent="0.15">
      <c r="A308" s="1"/>
      <c r="B308" s="1"/>
      <c r="C308" s="1"/>
      <c r="D308" s="1"/>
      <c r="E308" s="3"/>
      <c r="F308" s="26"/>
      <c r="G308" s="1"/>
      <c r="H308" s="1"/>
      <c r="I308" s="1"/>
      <c r="J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x14ac:dyDescent="0.15">
      <c r="A309" s="1"/>
      <c r="B309" s="1" t="s">
        <v>173</v>
      </c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x14ac:dyDescent="0.15">
      <c r="A311" s="1"/>
      <c r="B311" s="1"/>
      <c r="C311" s="1"/>
      <c r="D311" s="73" t="s">
        <v>172</v>
      </c>
      <c r="E311" s="73" t="s">
        <v>13</v>
      </c>
      <c r="F311" s="8" t="s">
        <v>174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x14ac:dyDescent="0.15">
      <c r="A312" s="1"/>
      <c r="B312" s="1"/>
      <c r="C312" s="1"/>
      <c r="D312" s="73"/>
      <c r="E312" s="73"/>
      <c r="F312" s="3" t="s">
        <v>25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x14ac:dyDescent="0.15">
      <c r="A313" s="1"/>
      <c r="B313" s="1"/>
      <c r="C313" s="1"/>
      <c r="D313" s="3"/>
      <c r="E313" s="3"/>
      <c r="F313" s="3"/>
      <c r="G313" s="3"/>
      <c r="H313" s="3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x14ac:dyDescent="0.15">
      <c r="A314" s="1"/>
      <c r="B314" s="1"/>
      <c r="C314" s="1"/>
      <c r="D314" s="3"/>
      <c r="E314" s="73" t="s">
        <v>13</v>
      </c>
      <c r="F314" s="78">
        <v>1131852</v>
      </c>
      <c r="G314" s="78"/>
      <c r="H314" s="78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x14ac:dyDescent="0.15">
      <c r="A315" s="1"/>
      <c r="B315" s="1"/>
      <c r="C315" s="1"/>
      <c r="D315" s="3"/>
      <c r="E315" s="73"/>
      <c r="F315" s="77">
        <v>2374644</v>
      </c>
      <c r="G315" s="77"/>
      <c r="H315" s="77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x14ac:dyDescent="0.15">
      <c r="A316" s="1"/>
      <c r="B316" s="1"/>
      <c r="C316" s="1"/>
      <c r="D316" s="3"/>
      <c r="E316" s="3"/>
      <c r="F316" s="3"/>
      <c r="G316" s="3"/>
      <c r="H316" s="3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x14ac:dyDescent="0.15">
      <c r="A317" s="1"/>
      <c r="B317" s="1"/>
      <c r="C317" s="1"/>
      <c r="D317" s="3"/>
      <c r="E317" s="3" t="s">
        <v>13</v>
      </c>
      <c r="F317" s="79">
        <f>F314/F315</f>
        <v>0.47664070909155226</v>
      </c>
      <c r="G317" s="79"/>
      <c r="H317" s="1" t="s">
        <v>35</v>
      </c>
      <c r="I317" s="1"/>
      <c r="J317" s="1" t="s">
        <v>36</v>
      </c>
      <c r="K317" s="73" t="s">
        <v>134</v>
      </c>
      <c r="L317" s="73"/>
      <c r="M317" s="3" t="s">
        <v>13</v>
      </c>
      <c r="N317" s="73">
        <f>F278</f>
        <v>0.85</v>
      </c>
      <c r="O317" s="73"/>
      <c r="P317" s="1" t="s">
        <v>35</v>
      </c>
      <c r="Q317" s="1"/>
      <c r="R317" s="1"/>
      <c r="S317" s="1"/>
      <c r="T317" s="18" t="str">
        <f>IF(F317&lt;=N317,"OK","NG")</f>
        <v>OK</v>
      </c>
      <c r="U317" s="1"/>
      <c r="V317" s="1"/>
    </row>
    <row r="318" spans="1:22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1" spans="1:20" x14ac:dyDescent="0.15">
      <c r="A321" s="2" t="s">
        <v>669</v>
      </c>
      <c r="B321" s="26" t="s">
        <v>670</v>
      </c>
      <c r="C321" s="26"/>
      <c r="D321" s="26"/>
      <c r="E321" s="26"/>
      <c r="F321" s="26"/>
      <c r="G321" s="26"/>
    </row>
    <row r="324" spans="1:20" x14ac:dyDescent="0.15">
      <c r="B324" s="39" t="s">
        <v>175</v>
      </c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</row>
    <row r="325" spans="1:20" x14ac:dyDescent="0.15">
      <c r="B325" s="39" t="s">
        <v>176</v>
      </c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</row>
    <row r="326" spans="1:20" x14ac:dyDescent="0.15">
      <c r="B326" s="39" t="s">
        <v>532</v>
      </c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</row>
    <row r="327" spans="1:20" x14ac:dyDescent="0.15">
      <c r="B327" s="39" t="s">
        <v>533</v>
      </c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</row>
  </sheetData>
  <mergeCells count="356">
    <mergeCell ref="R24:S24"/>
    <mergeCell ref="R18:S18"/>
    <mergeCell ref="R21:S21"/>
    <mergeCell ref="S61:T61"/>
    <mergeCell ref="S64:T64"/>
    <mergeCell ref="AA263:AA264"/>
    <mergeCell ref="L260:L261"/>
    <mergeCell ref="E260:E261"/>
    <mergeCell ref="I260:I261"/>
    <mergeCell ref="J260:J261"/>
    <mergeCell ref="F260:F261"/>
    <mergeCell ref="N263:N264"/>
    <mergeCell ref="H44:J44"/>
    <mergeCell ref="L44:N44"/>
    <mergeCell ref="H48:J48"/>
    <mergeCell ref="L48:N48"/>
    <mergeCell ref="P48:Q48"/>
    <mergeCell ref="P44:Q44"/>
    <mergeCell ref="I109:J109"/>
    <mergeCell ref="N109:P109"/>
    <mergeCell ref="I112:J112"/>
    <mergeCell ref="N112:P112"/>
    <mergeCell ref="G52:H52"/>
    <mergeCell ref="Q92:R92"/>
    <mergeCell ref="Q93:R93"/>
    <mergeCell ref="F272:G272"/>
    <mergeCell ref="F273:G273"/>
    <mergeCell ref="F274:G274"/>
    <mergeCell ref="A152:A153"/>
    <mergeCell ref="A154:A159"/>
    <mergeCell ref="A161:A166"/>
    <mergeCell ref="A186:A187"/>
    <mergeCell ref="A195:A200"/>
    <mergeCell ref="A188:A193"/>
    <mergeCell ref="E251:E252"/>
    <mergeCell ref="E254:E255"/>
    <mergeCell ref="E245:E246"/>
    <mergeCell ref="E242:E243"/>
    <mergeCell ref="A209:A210"/>
    <mergeCell ref="A211:A216"/>
    <mergeCell ref="A218:A223"/>
    <mergeCell ref="B214:D214"/>
    <mergeCell ref="B215:D215"/>
    <mergeCell ref="B216:D216"/>
    <mergeCell ref="B163:D163"/>
    <mergeCell ref="B164:D164"/>
    <mergeCell ref="B165:D165"/>
    <mergeCell ref="B166:D166"/>
    <mergeCell ref="B195:D195"/>
    <mergeCell ref="B188:D188"/>
    <mergeCell ref="B198:D198"/>
    <mergeCell ref="B199:D199"/>
    <mergeCell ref="D29:E29"/>
    <mergeCell ref="D30:F30"/>
    <mergeCell ref="D35:F35"/>
    <mergeCell ref="D40:E40"/>
    <mergeCell ref="D44:F44"/>
    <mergeCell ref="D45:E45"/>
    <mergeCell ref="D48:F48"/>
    <mergeCell ref="D49:E49"/>
    <mergeCell ref="D52:E52"/>
    <mergeCell ref="D53:E53"/>
    <mergeCell ref="D144:D145"/>
    <mergeCell ref="E144:E145"/>
    <mergeCell ref="E147:E148"/>
    <mergeCell ref="F150:G150"/>
    <mergeCell ref="F147:G147"/>
    <mergeCell ref="F148:G148"/>
    <mergeCell ref="B152:D153"/>
    <mergeCell ref="B161:D161"/>
    <mergeCell ref="B162:D162"/>
    <mergeCell ref="F164:G164"/>
    <mergeCell ref="F188:G188"/>
    <mergeCell ref="B200:D200"/>
    <mergeCell ref="F198:G198"/>
    <mergeCell ref="F199:G199"/>
    <mergeCell ref="F200:G200"/>
    <mergeCell ref="J202:N202"/>
    <mergeCell ref="B209:D210"/>
    <mergeCell ref="E209:F210"/>
    <mergeCell ref="G209:H210"/>
    <mergeCell ref="I209:J210"/>
    <mergeCell ref="K209:O210"/>
    <mergeCell ref="O202:P202"/>
    <mergeCell ref="H198:I198"/>
    <mergeCell ref="H199:I199"/>
    <mergeCell ref="H200:I200"/>
    <mergeCell ref="J198:N198"/>
    <mergeCell ref="J199:N199"/>
    <mergeCell ref="J200:N200"/>
    <mergeCell ref="P209:Q210"/>
    <mergeCell ref="Q200:U200"/>
    <mergeCell ref="O198:P198"/>
    <mergeCell ref="O199:P199"/>
    <mergeCell ref="O200:P200"/>
    <mergeCell ref="Q198:U198"/>
    <mergeCell ref="Q199:U199"/>
    <mergeCell ref="H260:H261"/>
    <mergeCell ref="F263:F264"/>
    <mergeCell ref="I263:I264"/>
    <mergeCell ref="J263:J264"/>
    <mergeCell ref="K263:K264"/>
    <mergeCell ref="E152:G153"/>
    <mergeCell ref="B154:D154"/>
    <mergeCell ref="B155:D155"/>
    <mergeCell ref="B156:D156"/>
    <mergeCell ref="B157:D157"/>
    <mergeCell ref="B158:D158"/>
    <mergeCell ref="B159:D159"/>
    <mergeCell ref="F154:G154"/>
    <mergeCell ref="F155:G155"/>
    <mergeCell ref="F156:G156"/>
    <mergeCell ref="F157:G157"/>
    <mergeCell ref="F158:G158"/>
    <mergeCell ref="F159:G159"/>
    <mergeCell ref="H152:I153"/>
    <mergeCell ref="H154:I154"/>
    <mergeCell ref="J152:N153"/>
    <mergeCell ref="J154:N154"/>
    <mergeCell ref="H155:I155"/>
    <mergeCell ref="Q97:R97"/>
    <mergeCell ref="Q98:R98"/>
    <mergeCell ref="O152:P153"/>
    <mergeCell ref="O154:P154"/>
    <mergeCell ref="O155:P155"/>
    <mergeCell ref="O156:P156"/>
    <mergeCell ref="O157:P157"/>
    <mergeCell ref="O158:P158"/>
    <mergeCell ref="Q152:U153"/>
    <mergeCell ref="Q154:U154"/>
    <mergeCell ref="Q155:U155"/>
    <mergeCell ref="Q156:U156"/>
    <mergeCell ref="Q157:U157"/>
    <mergeCell ref="Q158:U158"/>
    <mergeCell ref="H159:I159"/>
    <mergeCell ref="H161:I161"/>
    <mergeCell ref="H162:I162"/>
    <mergeCell ref="H163:I163"/>
    <mergeCell ref="H164:I164"/>
    <mergeCell ref="F163:G163"/>
    <mergeCell ref="J155:N155"/>
    <mergeCell ref="J156:N156"/>
    <mergeCell ref="J157:N157"/>
    <mergeCell ref="J158:N158"/>
    <mergeCell ref="J159:N159"/>
    <mergeCell ref="J161:N161"/>
    <mergeCell ref="J162:N162"/>
    <mergeCell ref="J163:N163"/>
    <mergeCell ref="F161:G161"/>
    <mergeCell ref="F162:G162"/>
    <mergeCell ref="H157:I157"/>
    <mergeCell ref="H158:I158"/>
    <mergeCell ref="H156:I156"/>
    <mergeCell ref="E178:E179"/>
    <mergeCell ref="F181:G181"/>
    <mergeCell ref="F182:G182"/>
    <mergeCell ref="F184:G184"/>
    <mergeCell ref="H197:I197"/>
    <mergeCell ref="Q163:U163"/>
    <mergeCell ref="Q164:U164"/>
    <mergeCell ref="Q165:U165"/>
    <mergeCell ref="Q166:U166"/>
    <mergeCell ref="H188:I188"/>
    <mergeCell ref="J188:N188"/>
    <mergeCell ref="O163:P163"/>
    <mergeCell ref="O164:P164"/>
    <mergeCell ref="O165:P165"/>
    <mergeCell ref="O166:P166"/>
    <mergeCell ref="O168:P168"/>
    <mergeCell ref="J164:N164"/>
    <mergeCell ref="J165:N165"/>
    <mergeCell ref="J166:N166"/>
    <mergeCell ref="J168:N168"/>
    <mergeCell ref="H189:I189"/>
    <mergeCell ref="H190:I190"/>
    <mergeCell ref="H191:I191"/>
    <mergeCell ref="H192:I192"/>
    <mergeCell ref="B189:D189"/>
    <mergeCell ref="B190:D190"/>
    <mergeCell ref="B191:D191"/>
    <mergeCell ref="B192:D192"/>
    <mergeCell ref="B193:D193"/>
    <mergeCell ref="B196:D196"/>
    <mergeCell ref="B197:D197"/>
    <mergeCell ref="Q159:U159"/>
    <mergeCell ref="Q161:U161"/>
    <mergeCell ref="Q162:U162"/>
    <mergeCell ref="O159:P159"/>
    <mergeCell ref="B186:D187"/>
    <mergeCell ref="E186:G187"/>
    <mergeCell ref="H186:I187"/>
    <mergeCell ref="J186:N187"/>
    <mergeCell ref="O186:P187"/>
    <mergeCell ref="Q186:U187"/>
    <mergeCell ref="H165:I165"/>
    <mergeCell ref="H166:I166"/>
    <mergeCell ref="F165:G165"/>
    <mergeCell ref="F166:G166"/>
    <mergeCell ref="O161:P161"/>
    <mergeCell ref="O162:P162"/>
    <mergeCell ref="D178:D179"/>
    <mergeCell ref="J189:N189"/>
    <mergeCell ref="J190:N190"/>
    <mergeCell ref="J191:N191"/>
    <mergeCell ref="J192:N192"/>
    <mergeCell ref="J193:N193"/>
    <mergeCell ref="J195:N195"/>
    <mergeCell ref="J196:N196"/>
    <mergeCell ref="J197:N197"/>
    <mergeCell ref="F189:G189"/>
    <mergeCell ref="F190:G190"/>
    <mergeCell ref="F191:G191"/>
    <mergeCell ref="F192:G192"/>
    <mergeCell ref="F193:G193"/>
    <mergeCell ref="F195:G195"/>
    <mergeCell ref="F196:G196"/>
    <mergeCell ref="F197:G197"/>
    <mergeCell ref="H193:I193"/>
    <mergeCell ref="H195:I195"/>
    <mergeCell ref="H196:I196"/>
    <mergeCell ref="O188:P188"/>
    <mergeCell ref="O189:P189"/>
    <mergeCell ref="O190:P190"/>
    <mergeCell ref="O191:P191"/>
    <mergeCell ref="O192:P192"/>
    <mergeCell ref="O193:P193"/>
    <mergeCell ref="O195:P195"/>
    <mergeCell ref="O196:P196"/>
    <mergeCell ref="O197:P197"/>
    <mergeCell ref="Q188:U188"/>
    <mergeCell ref="Q189:U189"/>
    <mergeCell ref="Q190:U190"/>
    <mergeCell ref="Q191:U191"/>
    <mergeCell ref="Q192:U192"/>
    <mergeCell ref="Q193:U193"/>
    <mergeCell ref="Q195:U195"/>
    <mergeCell ref="Q196:U196"/>
    <mergeCell ref="Q197:U197"/>
    <mergeCell ref="B211:D211"/>
    <mergeCell ref="E211:F211"/>
    <mergeCell ref="G211:H211"/>
    <mergeCell ref="I211:J211"/>
    <mergeCell ref="K211:O211"/>
    <mergeCell ref="P211:Q211"/>
    <mergeCell ref="B212:D212"/>
    <mergeCell ref="B213:D213"/>
    <mergeCell ref="G212:H212"/>
    <mergeCell ref="G213:H213"/>
    <mergeCell ref="K212:O212"/>
    <mergeCell ref="K213:O213"/>
    <mergeCell ref="B218:D218"/>
    <mergeCell ref="B219:D219"/>
    <mergeCell ref="B220:D220"/>
    <mergeCell ref="B221:D221"/>
    <mergeCell ref="B222:D222"/>
    <mergeCell ref="B223:D223"/>
    <mergeCell ref="E212:F212"/>
    <mergeCell ref="E213:F213"/>
    <mergeCell ref="E214:F214"/>
    <mergeCell ref="E215:F215"/>
    <mergeCell ref="E216:F216"/>
    <mergeCell ref="E218:F218"/>
    <mergeCell ref="E219:F219"/>
    <mergeCell ref="E220:F220"/>
    <mergeCell ref="E221:F221"/>
    <mergeCell ref="E222:F222"/>
    <mergeCell ref="E223:F223"/>
    <mergeCell ref="G223:H223"/>
    <mergeCell ref="I212:J212"/>
    <mergeCell ref="I213:J213"/>
    <mergeCell ref="I214:J214"/>
    <mergeCell ref="I215:J215"/>
    <mergeCell ref="I216:J216"/>
    <mergeCell ref="I218:J218"/>
    <mergeCell ref="I219:J219"/>
    <mergeCell ref="I220:J220"/>
    <mergeCell ref="I221:J221"/>
    <mergeCell ref="I222:J222"/>
    <mergeCell ref="I223:J223"/>
    <mergeCell ref="G214:H214"/>
    <mergeCell ref="G215:H215"/>
    <mergeCell ref="G216:H216"/>
    <mergeCell ref="G218:H218"/>
    <mergeCell ref="G219:H219"/>
    <mergeCell ref="G220:H220"/>
    <mergeCell ref="G221:H221"/>
    <mergeCell ref="G222:H222"/>
    <mergeCell ref="K223:O223"/>
    <mergeCell ref="P212:Q212"/>
    <mergeCell ref="P213:Q213"/>
    <mergeCell ref="P214:Q214"/>
    <mergeCell ref="P215:Q215"/>
    <mergeCell ref="P216:Q216"/>
    <mergeCell ref="P218:Q218"/>
    <mergeCell ref="P219:Q219"/>
    <mergeCell ref="P220:Q220"/>
    <mergeCell ref="P221:Q221"/>
    <mergeCell ref="P222:Q222"/>
    <mergeCell ref="P223:Q223"/>
    <mergeCell ref="K214:O214"/>
    <mergeCell ref="K215:O215"/>
    <mergeCell ref="K216:O216"/>
    <mergeCell ref="K218:O218"/>
    <mergeCell ref="K219:O219"/>
    <mergeCell ref="K220:O220"/>
    <mergeCell ref="K221:O221"/>
    <mergeCell ref="K222:O222"/>
    <mergeCell ref="F245:G245"/>
    <mergeCell ref="F246:G246"/>
    <mergeCell ref="F248:G248"/>
    <mergeCell ref="K248:L248"/>
    <mergeCell ref="D251:D252"/>
    <mergeCell ref="F254:H254"/>
    <mergeCell ref="F257:G257"/>
    <mergeCell ref="I225:K225"/>
    <mergeCell ref="F228:G228"/>
    <mergeCell ref="F230:G230"/>
    <mergeCell ref="F235:G235"/>
    <mergeCell ref="G234:H234"/>
    <mergeCell ref="K234:L234"/>
    <mergeCell ref="D242:D243"/>
    <mergeCell ref="F242:G242"/>
    <mergeCell ref="F243:G243"/>
    <mergeCell ref="C277:D277"/>
    <mergeCell ref="D260:D261"/>
    <mergeCell ref="G263:H263"/>
    <mergeCell ref="G264:H264"/>
    <mergeCell ref="L263:M263"/>
    <mergeCell ref="L264:M264"/>
    <mergeCell ref="F266:G266"/>
    <mergeCell ref="N317:O317"/>
    <mergeCell ref="F299:G299"/>
    <mergeCell ref="F304:G304"/>
    <mergeCell ref="F305:G305"/>
    <mergeCell ref="F307:G307"/>
    <mergeCell ref="K307:L307"/>
    <mergeCell ref="F314:H314"/>
    <mergeCell ref="F315:H315"/>
    <mergeCell ref="F317:G317"/>
    <mergeCell ref="K317:L317"/>
    <mergeCell ref="D301:D302"/>
    <mergeCell ref="E304:E305"/>
    <mergeCell ref="E263:E264"/>
    <mergeCell ref="D311:D312"/>
    <mergeCell ref="E311:E312"/>
    <mergeCell ref="E314:E315"/>
    <mergeCell ref="E301:E302"/>
    <mergeCell ref="I53:J53"/>
    <mergeCell ref="A27:B27"/>
    <mergeCell ref="A32:B32"/>
    <mergeCell ref="C32:E32"/>
    <mergeCell ref="C27:F27"/>
    <mergeCell ref="A37:B37"/>
    <mergeCell ref="C37:D37"/>
    <mergeCell ref="I45:J45"/>
    <mergeCell ref="I49:J49"/>
  </mergeCells>
  <phoneticPr fontId="2"/>
  <pageMargins left="0.70866141732283472" right="0.70866141732283472" top="0.74803149606299213" bottom="0.74803149606299213" header="0.31496062992125984" footer="0.31496062992125984"/>
  <pageSetup paperSize="9" scale="91" firstPageNumber="47" orientation="portrait" useFirstPageNumber="1" r:id="rId1"/>
  <headerFooter>
    <oddFooter>&amp;C&amp;"ＭＳ Ｐゴシック,標準"&amp;10Ⅱ&amp;"Times New Roman,標準"-&amp;P</oddFooter>
  </headerFooter>
  <rowBreaks count="5" manualBreakCount="5">
    <brk id="55" max="22" man="1"/>
    <brk id="114" max="22" man="1"/>
    <brk id="172" max="22" man="1"/>
    <brk id="237" max="22" man="1"/>
    <brk id="268" max="2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10" zoomScale="85" zoomScaleNormal="85" zoomScaleSheetLayoutView="85" workbookViewId="0">
      <selection activeCell="D61" sqref="D61"/>
    </sheetView>
  </sheetViews>
  <sheetFormatPr defaultRowHeight="13.5" x14ac:dyDescent="0.15"/>
  <sheetData/>
  <phoneticPr fontId="2"/>
  <pageMargins left="0.70866141732283472" right="0.70866141732283472" top="0.74803149606299213" bottom="0.74803149606299213" header="0.31496062992125984" footer="0.31496062992125984"/>
  <pageSetup paperSize="8" orientation="landscape" r:id="rId1"/>
  <headerFooter>
    <oddFooter>&amp;C&amp;"ＭＳ Ｐゴシック,標準"&amp;10Ⅱ&amp;"Times New Roman,標準"-53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602"/>
  <sheetViews>
    <sheetView tabSelected="1" view="pageBreakPreview" topLeftCell="A46" zoomScale="130" zoomScaleNormal="100" zoomScaleSheetLayoutView="130" workbookViewId="0">
      <selection activeCell="O57" sqref="O57"/>
    </sheetView>
  </sheetViews>
  <sheetFormatPr defaultRowHeight="12.75" x14ac:dyDescent="0.15"/>
  <cols>
    <col min="1" max="33" width="3.75" style="1" customWidth="1"/>
    <col min="34" max="16384" width="9" style="1"/>
  </cols>
  <sheetData>
    <row r="2" spans="1:20" x14ac:dyDescent="0.15">
      <c r="A2" s="1" t="s">
        <v>679</v>
      </c>
    </row>
    <row r="4" spans="1:20" x14ac:dyDescent="0.15">
      <c r="A4" s="1">
        <v>1</v>
      </c>
      <c r="B4" s="1" t="s">
        <v>619</v>
      </c>
    </row>
    <row r="6" spans="1:20" x14ac:dyDescent="0.15">
      <c r="B6" s="1" t="s">
        <v>589</v>
      </c>
      <c r="C6" s="72" t="s">
        <v>590</v>
      </c>
      <c r="D6" s="72"/>
      <c r="E6" s="72"/>
      <c r="F6" s="2" t="s">
        <v>581</v>
      </c>
      <c r="G6" s="1" t="s">
        <v>591</v>
      </c>
    </row>
    <row r="8" spans="1:20" x14ac:dyDescent="0.15">
      <c r="B8" s="1" t="s">
        <v>592</v>
      </c>
      <c r="C8" s="72" t="s">
        <v>593</v>
      </c>
      <c r="D8" s="72"/>
      <c r="E8" s="72"/>
    </row>
    <row r="10" spans="1:20" x14ac:dyDescent="0.15">
      <c r="D10" s="1" t="s">
        <v>192</v>
      </c>
      <c r="M10" s="73" t="s">
        <v>194</v>
      </c>
      <c r="N10" s="73"/>
      <c r="O10" s="3" t="s">
        <v>195</v>
      </c>
      <c r="P10" s="129">
        <v>430</v>
      </c>
      <c r="Q10" s="129"/>
      <c r="R10" s="1" t="s">
        <v>196</v>
      </c>
    </row>
    <row r="11" spans="1:20" x14ac:dyDescent="0.15">
      <c r="D11" s="1" t="s">
        <v>193</v>
      </c>
      <c r="L11" s="1" t="s">
        <v>197</v>
      </c>
      <c r="P11" s="3" t="s">
        <v>199</v>
      </c>
      <c r="Q11" s="3" t="s">
        <v>195</v>
      </c>
      <c r="R11" s="122">
        <v>2678</v>
      </c>
      <c r="S11" s="122"/>
      <c r="T11" s="1" t="s">
        <v>196</v>
      </c>
    </row>
    <row r="12" spans="1:20" x14ac:dyDescent="0.15">
      <c r="L12" s="1" t="s">
        <v>198</v>
      </c>
      <c r="P12" s="3" t="s">
        <v>200</v>
      </c>
      <c r="Q12" s="3" t="s">
        <v>195</v>
      </c>
      <c r="R12" s="122">
        <v>1313</v>
      </c>
      <c r="S12" s="122"/>
      <c r="T12" s="1" t="s">
        <v>196</v>
      </c>
    </row>
    <row r="14" spans="1:20" x14ac:dyDescent="0.15">
      <c r="D14" s="1" t="s">
        <v>201</v>
      </c>
      <c r="N14" s="3" t="s">
        <v>180</v>
      </c>
      <c r="O14" s="3" t="s">
        <v>195</v>
      </c>
      <c r="P14" s="4">
        <v>3</v>
      </c>
      <c r="Q14" s="1" t="s">
        <v>203</v>
      </c>
    </row>
    <row r="15" spans="1:20" x14ac:dyDescent="0.15">
      <c r="D15" s="1" t="s">
        <v>202</v>
      </c>
      <c r="N15" s="3" t="s">
        <v>180</v>
      </c>
      <c r="O15" s="3" t="s">
        <v>195</v>
      </c>
      <c r="P15" s="5">
        <v>3</v>
      </c>
      <c r="Q15" s="1" t="s">
        <v>203</v>
      </c>
    </row>
    <row r="17" spans="4:15" x14ac:dyDescent="0.15">
      <c r="D17" s="1" t="s">
        <v>204</v>
      </c>
    </row>
    <row r="18" spans="4:15" x14ac:dyDescent="0.15">
      <c r="E18" s="1" t="s">
        <v>205</v>
      </c>
    </row>
    <row r="20" spans="4:15" x14ac:dyDescent="0.15">
      <c r="D20" s="1" t="s">
        <v>197</v>
      </c>
    </row>
    <row r="22" spans="4:15" x14ac:dyDescent="0.15">
      <c r="E22" s="73" t="s">
        <v>206</v>
      </c>
      <c r="F22" s="73" t="s">
        <v>195</v>
      </c>
      <c r="G22" s="6" t="s">
        <v>199</v>
      </c>
    </row>
    <row r="23" spans="4:15" x14ac:dyDescent="0.15">
      <c r="E23" s="73"/>
      <c r="F23" s="73"/>
      <c r="G23" s="7" t="s">
        <v>191</v>
      </c>
    </row>
    <row r="24" spans="4:15" x14ac:dyDescent="0.15">
      <c r="E24" s="3"/>
      <c r="F24" s="3"/>
      <c r="G24" s="7"/>
      <c r="H24" s="3"/>
      <c r="I24" s="7"/>
      <c r="J24" s="3"/>
      <c r="K24" s="3"/>
      <c r="L24" s="3"/>
      <c r="M24" s="3"/>
      <c r="N24" s="3"/>
    </row>
    <row r="25" spans="4:15" x14ac:dyDescent="0.15">
      <c r="E25" s="3"/>
      <c r="F25" s="73" t="s">
        <v>195</v>
      </c>
      <c r="G25" s="75">
        <f>R11</f>
        <v>2678</v>
      </c>
      <c r="H25" s="75"/>
      <c r="N25" s="3"/>
      <c r="O25" s="3"/>
    </row>
    <row r="26" spans="4:15" x14ac:dyDescent="0.15">
      <c r="E26" s="3"/>
      <c r="F26" s="73"/>
      <c r="G26" s="182">
        <f>P14</f>
        <v>3</v>
      </c>
      <c r="H26" s="182"/>
      <c r="N26" s="3"/>
      <c r="O26" s="3"/>
    </row>
    <row r="27" spans="4:15" x14ac:dyDescent="0.15">
      <c r="E27" s="3"/>
      <c r="F27" s="3"/>
      <c r="G27" s="7"/>
      <c r="H27" s="3"/>
      <c r="I27" s="7"/>
      <c r="J27" s="3"/>
      <c r="K27" s="3"/>
      <c r="L27" s="3"/>
      <c r="M27" s="3"/>
      <c r="N27" s="3"/>
      <c r="O27" s="3"/>
    </row>
    <row r="28" spans="4:15" x14ac:dyDescent="0.15">
      <c r="E28" s="3"/>
      <c r="F28" s="3" t="s">
        <v>195</v>
      </c>
      <c r="G28" s="73">
        <f>ROUNDUP(G25/G26,1)</f>
        <v>892.7</v>
      </c>
      <c r="H28" s="73"/>
      <c r="I28" s="9" t="s">
        <v>196</v>
      </c>
      <c r="J28" s="9" t="s">
        <v>208</v>
      </c>
      <c r="K28" s="73">
        <f>ROUNDUP(G28,-1)</f>
        <v>900</v>
      </c>
      <c r="L28" s="73"/>
      <c r="M28" s="9" t="s">
        <v>196</v>
      </c>
      <c r="N28" s="3"/>
      <c r="O28" s="3"/>
    </row>
    <row r="29" spans="4:15" x14ac:dyDescent="0.15">
      <c r="F29" s="9"/>
      <c r="G29" s="9"/>
      <c r="H29" s="9"/>
      <c r="I29" s="9"/>
      <c r="J29" s="9"/>
      <c r="K29" s="9"/>
    </row>
    <row r="30" spans="4:15" x14ac:dyDescent="0.15">
      <c r="D30" s="1" t="s">
        <v>198</v>
      </c>
    </row>
    <row r="32" spans="4:15" x14ac:dyDescent="0.15">
      <c r="E32" s="73" t="s">
        <v>209</v>
      </c>
      <c r="F32" s="73" t="s">
        <v>195</v>
      </c>
      <c r="G32" s="6" t="s">
        <v>200</v>
      </c>
    </row>
    <row r="33" spans="2:24" x14ac:dyDescent="0.15">
      <c r="E33" s="73"/>
      <c r="F33" s="73"/>
      <c r="G33" s="7" t="s">
        <v>191</v>
      </c>
    </row>
    <row r="35" spans="2:24" x14ac:dyDescent="0.15">
      <c r="F35" s="73" t="s">
        <v>195</v>
      </c>
      <c r="G35" s="75">
        <f>R12</f>
        <v>1313</v>
      </c>
      <c r="H35" s="75"/>
    </row>
    <row r="36" spans="2:24" x14ac:dyDescent="0.15">
      <c r="F36" s="73"/>
      <c r="G36" s="182">
        <f>P14</f>
        <v>3</v>
      </c>
      <c r="H36" s="182"/>
    </row>
    <row r="38" spans="2:24" x14ac:dyDescent="0.15">
      <c r="F38" s="3" t="s">
        <v>195</v>
      </c>
      <c r="G38" s="73">
        <f>ROUNDUP(G35/G36,1)</f>
        <v>437.70000000000005</v>
      </c>
      <c r="H38" s="73"/>
      <c r="I38" s="9" t="s">
        <v>196</v>
      </c>
      <c r="J38" s="9" t="s">
        <v>208</v>
      </c>
      <c r="K38" s="73">
        <f>ROUNDUP(G38,-1)</f>
        <v>440</v>
      </c>
      <c r="L38" s="73"/>
      <c r="M38" s="9" t="s">
        <v>196</v>
      </c>
    </row>
    <row r="39" spans="2:24" x14ac:dyDescent="0.15">
      <c r="F39" s="9"/>
      <c r="G39" s="9"/>
      <c r="H39" s="9"/>
      <c r="I39" s="9"/>
      <c r="J39" s="9"/>
      <c r="K39" s="9"/>
    </row>
    <row r="40" spans="2:24" x14ac:dyDescent="0.15">
      <c r="B40" s="1" t="s">
        <v>620</v>
      </c>
      <c r="C40" s="1" t="s">
        <v>621</v>
      </c>
    </row>
    <row r="42" spans="2:24" x14ac:dyDescent="0.15">
      <c r="D42" s="1" t="s">
        <v>210</v>
      </c>
      <c r="I42" s="3" t="s">
        <v>212</v>
      </c>
      <c r="J42" s="3" t="s">
        <v>214</v>
      </c>
      <c r="K42" s="10" t="s">
        <v>215</v>
      </c>
      <c r="L42" s="1">
        <v>15</v>
      </c>
      <c r="M42" s="1" t="s">
        <v>216</v>
      </c>
    </row>
    <row r="43" spans="2:24" x14ac:dyDescent="0.15">
      <c r="I43" s="3"/>
      <c r="J43" s="3"/>
      <c r="K43" s="10"/>
    </row>
    <row r="44" spans="2:24" x14ac:dyDescent="0.15">
      <c r="D44" s="1" t="s">
        <v>211</v>
      </c>
      <c r="I44" s="3" t="s">
        <v>213</v>
      </c>
      <c r="J44" s="3" t="s">
        <v>214</v>
      </c>
      <c r="K44" s="10" t="s">
        <v>215</v>
      </c>
      <c r="L44" s="1">
        <v>15</v>
      </c>
      <c r="M44" s="1" t="s">
        <v>216</v>
      </c>
    </row>
    <row r="46" spans="2:24" x14ac:dyDescent="0.15">
      <c r="B46" s="1" t="s">
        <v>622</v>
      </c>
      <c r="C46" s="1" t="s">
        <v>623</v>
      </c>
    </row>
    <row r="48" spans="2:24" x14ac:dyDescent="0.15">
      <c r="C48" s="11"/>
      <c r="D48" s="26" t="s">
        <v>534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</row>
    <row r="49" spans="2:24" x14ac:dyDescent="0.15">
      <c r="C49" s="11"/>
      <c r="D49" s="26" t="s">
        <v>536</v>
      </c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</row>
    <row r="50" spans="2:24" x14ac:dyDescent="0.15">
      <c r="C50" s="11"/>
      <c r="D50" s="26" t="s">
        <v>535</v>
      </c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</row>
    <row r="51" spans="2:24" x14ac:dyDescent="0.15">
      <c r="C51" s="11"/>
      <c r="D51" s="26" t="s">
        <v>569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</row>
    <row r="53" spans="2:24" x14ac:dyDescent="0.15">
      <c r="D53" s="162" t="s">
        <v>217</v>
      </c>
      <c r="E53" s="162"/>
      <c r="F53" s="162"/>
      <c r="G53" s="162"/>
      <c r="H53" s="135"/>
      <c r="I53" s="136"/>
      <c r="J53" s="137"/>
    </row>
    <row r="54" spans="2:24" x14ac:dyDescent="0.15">
      <c r="D54" s="12" t="s">
        <v>218</v>
      </c>
      <c r="E54" s="12"/>
      <c r="F54" s="13"/>
      <c r="G54" s="13"/>
      <c r="H54" s="162" t="s">
        <v>224</v>
      </c>
      <c r="I54" s="162"/>
      <c r="J54" s="162"/>
    </row>
    <row r="55" spans="2:24" x14ac:dyDescent="0.15">
      <c r="D55" s="12" t="s">
        <v>219</v>
      </c>
      <c r="E55" s="12"/>
      <c r="F55" s="13"/>
      <c r="G55" s="13"/>
      <c r="H55" s="162" t="s">
        <v>224</v>
      </c>
      <c r="I55" s="162"/>
      <c r="J55" s="162"/>
    </row>
    <row r="56" spans="2:24" x14ac:dyDescent="0.15">
      <c r="D56" s="135" t="s">
        <v>220</v>
      </c>
      <c r="E56" s="136"/>
      <c r="F56" s="136"/>
      <c r="G56" s="137"/>
      <c r="H56" s="162" t="s">
        <v>225</v>
      </c>
      <c r="I56" s="162"/>
      <c r="J56" s="162"/>
    </row>
    <row r="57" spans="2:24" x14ac:dyDescent="0.15">
      <c r="D57" s="135" t="s">
        <v>221</v>
      </c>
      <c r="E57" s="136"/>
      <c r="F57" s="136"/>
      <c r="G57" s="137"/>
      <c r="H57" s="162" t="s">
        <v>226</v>
      </c>
      <c r="I57" s="162"/>
      <c r="J57" s="162"/>
    </row>
    <row r="58" spans="2:24" x14ac:dyDescent="0.15">
      <c r="D58" s="135" t="s">
        <v>222</v>
      </c>
      <c r="E58" s="136"/>
      <c r="F58" s="136"/>
      <c r="G58" s="137"/>
      <c r="H58" s="162" t="s">
        <v>227</v>
      </c>
      <c r="I58" s="162"/>
      <c r="J58" s="162"/>
    </row>
    <row r="59" spans="2:24" x14ac:dyDescent="0.15">
      <c r="D59" s="135" t="s">
        <v>223</v>
      </c>
      <c r="E59" s="136"/>
      <c r="F59" s="136"/>
      <c r="G59" s="137"/>
      <c r="H59" s="162" t="s">
        <v>228</v>
      </c>
      <c r="I59" s="162"/>
      <c r="J59" s="162"/>
    </row>
    <row r="61" spans="2:24" x14ac:dyDescent="0.15">
      <c r="B61" s="1" t="s">
        <v>624</v>
      </c>
      <c r="C61" s="1" t="s">
        <v>625</v>
      </c>
    </row>
    <row r="62" spans="2:24" ht="13.5" thickBot="1" x14ac:dyDescent="0.2"/>
    <row r="63" spans="2:24" x14ac:dyDescent="0.15">
      <c r="D63" s="118" t="s">
        <v>229</v>
      </c>
      <c r="E63" s="149"/>
      <c r="F63" s="149"/>
      <c r="G63" s="149"/>
      <c r="H63" s="149"/>
      <c r="I63" s="149" t="s">
        <v>230</v>
      </c>
      <c r="J63" s="149"/>
      <c r="K63" s="14"/>
      <c r="L63" s="149" t="s">
        <v>231</v>
      </c>
      <c r="M63" s="149"/>
      <c r="N63" s="149"/>
      <c r="O63" s="179" t="s">
        <v>232</v>
      </c>
      <c r="P63" s="180"/>
      <c r="Q63" s="181"/>
      <c r="R63" s="149" t="s">
        <v>233</v>
      </c>
      <c r="S63" s="149"/>
      <c r="T63" s="113"/>
    </row>
    <row r="64" spans="2:24" ht="13.5" thickBot="1" x14ac:dyDescent="0.2">
      <c r="D64" s="173" t="s">
        <v>234</v>
      </c>
      <c r="E64" s="150"/>
      <c r="F64" s="150"/>
      <c r="G64" s="150"/>
      <c r="H64" s="150"/>
      <c r="I64" s="150">
        <v>900</v>
      </c>
      <c r="J64" s="150"/>
      <c r="K64" s="15" t="s">
        <v>235</v>
      </c>
      <c r="L64" s="150" t="s">
        <v>236</v>
      </c>
      <c r="M64" s="150"/>
      <c r="N64" s="150"/>
      <c r="O64" s="150" t="s">
        <v>237</v>
      </c>
      <c r="P64" s="150"/>
      <c r="Q64" s="15" t="s">
        <v>238</v>
      </c>
      <c r="R64" s="150" t="s">
        <v>239</v>
      </c>
      <c r="S64" s="150"/>
      <c r="T64" s="151"/>
    </row>
    <row r="68" spans="2:36" x14ac:dyDescent="0.15">
      <c r="B68" s="1" t="s">
        <v>615</v>
      </c>
      <c r="C68" s="1" t="s">
        <v>616</v>
      </c>
    </row>
    <row r="70" spans="2:36" x14ac:dyDescent="0.15">
      <c r="B70" s="1" t="s">
        <v>617</v>
      </c>
      <c r="D70" s="1" t="s">
        <v>618</v>
      </c>
    </row>
    <row r="72" spans="2:36" x14ac:dyDescent="0.15">
      <c r="B72" s="1" t="s">
        <v>240</v>
      </c>
    </row>
    <row r="73" spans="2:36" x14ac:dyDescent="0.15">
      <c r="AI73" s="1">
        <f>SIN(K74*PI()/180)</f>
        <v>0.8191520442889918</v>
      </c>
      <c r="AJ73" s="1" t="s">
        <v>683</v>
      </c>
    </row>
    <row r="74" spans="2:36" x14ac:dyDescent="0.15">
      <c r="B74" s="73" t="s">
        <v>685</v>
      </c>
      <c r="C74" s="73"/>
      <c r="D74" s="73"/>
      <c r="E74" s="73"/>
      <c r="F74" s="73"/>
      <c r="I74" s="1" t="s">
        <v>241</v>
      </c>
      <c r="J74" s="3" t="s">
        <v>214</v>
      </c>
      <c r="K74" s="23">
        <v>55</v>
      </c>
      <c r="L74" s="1" t="s">
        <v>242</v>
      </c>
      <c r="M74" s="208" t="s">
        <v>690</v>
      </c>
      <c r="AI74" s="1">
        <f>COS(K74*PI()/180)</f>
        <v>0.57357643635104616</v>
      </c>
      <c r="AJ74" s="1" t="s">
        <v>250</v>
      </c>
    </row>
    <row r="76" spans="2:36" x14ac:dyDescent="0.15">
      <c r="C76" s="1" t="s">
        <v>243</v>
      </c>
    </row>
    <row r="77" spans="2:36" x14ac:dyDescent="0.15">
      <c r="C77" s="1" t="s">
        <v>252</v>
      </c>
    </row>
    <row r="78" spans="2:36" x14ac:dyDescent="0.15">
      <c r="D78" s="3" t="s">
        <v>178</v>
      </c>
      <c r="E78" s="3" t="s">
        <v>214</v>
      </c>
      <c r="F78" s="3" t="s">
        <v>245</v>
      </c>
      <c r="G78" s="3" t="s">
        <v>246</v>
      </c>
      <c r="H78" s="73" t="s">
        <v>247</v>
      </c>
      <c r="I78" s="73"/>
      <c r="J78" s="3" t="s">
        <v>214</v>
      </c>
      <c r="K78" s="73">
        <f>K28</f>
        <v>900</v>
      </c>
      <c r="L78" s="73"/>
      <c r="M78" s="3" t="s">
        <v>246</v>
      </c>
      <c r="N78" s="73" t="s">
        <v>671</v>
      </c>
      <c r="O78" s="73"/>
      <c r="P78" s="1">
        <f>K74</f>
        <v>55</v>
      </c>
      <c r="Q78" s="1" t="s">
        <v>682</v>
      </c>
      <c r="R78" s="3" t="s">
        <v>214</v>
      </c>
      <c r="S78" s="152">
        <f>K78*AI73</f>
        <v>737.23683986009257</v>
      </c>
      <c r="T78" s="152"/>
      <c r="U78" s="152"/>
      <c r="V78" s="3" t="s">
        <v>183</v>
      </c>
    </row>
    <row r="79" spans="2:36" x14ac:dyDescent="0.15">
      <c r="D79" s="3"/>
      <c r="E79" s="3"/>
      <c r="F79" s="3"/>
      <c r="G79" s="3"/>
      <c r="H79" s="3"/>
      <c r="I79" s="3"/>
      <c r="K79" s="3"/>
      <c r="L79" s="3"/>
      <c r="M79" s="3"/>
      <c r="O79" s="3"/>
      <c r="S79" s="56"/>
      <c r="T79" s="56"/>
      <c r="U79" s="56"/>
    </row>
    <row r="80" spans="2:36" x14ac:dyDescent="0.15">
      <c r="C80" s="1" t="s">
        <v>253</v>
      </c>
      <c r="D80" s="3"/>
      <c r="E80" s="3"/>
      <c r="F80" s="3"/>
      <c r="G80" s="3"/>
      <c r="H80" s="3"/>
      <c r="I80" s="3"/>
      <c r="K80" s="3"/>
      <c r="L80" s="3"/>
      <c r="M80" s="3"/>
      <c r="O80" s="3"/>
      <c r="S80" s="56"/>
      <c r="T80" s="56"/>
      <c r="U80" s="56"/>
    </row>
    <row r="81" spans="3:22" x14ac:dyDescent="0.15">
      <c r="D81" s="3" t="s">
        <v>244</v>
      </c>
      <c r="E81" s="3" t="s">
        <v>214</v>
      </c>
      <c r="F81" s="3" t="s">
        <v>248</v>
      </c>
      <c r="G81" s="3" t="s">
        <v>246</v>
      </c>
      <c r="H81" s="73" t="s">
        <v>249</v>
      </c>
      <c r="I81" s="73"/>
      <c r="J81" s="3" t="s">
        <v>214</v>
      </c>
      <c r="K81" s="73">
        <f>K78</f>
        <v>900</v>
      </c>
      <c r="L81" s="73"/>
      <c r="M81" s="3" t="s">
        <v>246</v>
      </c>
      <c r="N81" s="73" t="s">
        <v>672</v>
      </c>
      <c r="O81" s="73"/>
      <c r="P81" s="1">
        <f>K74</f>
        <v>55</v>
      </c>
      <c r="Q81" s="1" t="s">
        <v>682</v>
      </c>
      <c r="R81" s="3" t="s">
        <v>214</v>
      </c>
      <c r="S81" s="152">
        <f>K81*AI74</f>
        <v>516.2187927159415</v>
      </c>
      <c r="T81" s="152"/>
      <c r="U81" s="152"/>
      <c r="V81" s="3" t="s">
        <v>183</v>
      </c>
    </row>
    <row r="82" spans="3:22" x14ac:dyDescent="0.15">
      <c r="S82" s="56"/>
      <c r="T82" s="56"/>
      <c r="U82" s="56"/>
    </row>
    <row r="83" spans="3:22" x14ac:dyDescent="0.15">
      <c r="S83" s="56"/>
      <c r="T83" s="56"/>
      <c r="U83" s="56"/>
    </row>
    <row r="84" spans="3:22" x14ac:dyDescent="0.15">
      <c r="C84" s="1" t="s">
        <v>251</v>
      </c>
      <c r="S84" s="56"/>
      <c r="T84" s="56"/>
      <c r="U84" s="56"/>
    </row>
    <row r="85" spans="3:22" x14ac:dyDescent="0.15">
      <c r="C85" s="1" t="s">
        <v>252</v>
      </c>
      <c r="S85" s="56"/>
      <c r="T85" s="56"/>
      <c r="U85" s="56"/>
    </row>
    <row r="86" spans="3:22" x14ac:dyDescent="0.15">
      <c r="D86" s="3" t="s">
        <v>178</v>
      </c>
      <c r="E86" s="3" t="s">
        <v>214</v>
      </c>
      <c r="F86" s="3" t="s">
        <v>255</v>
      </c>
      <c r="G86" s="3" t="s">
        <v>246</v>
      </c>
      <c r="H86" s="73" t="s">
        <v>249</v>
      </c>
      <c r="I86" s="73"/>
      <c r="J86" s="3" t="s">
        <v>214</v>
      </c>
      <c r="K86" s="73">
        <f>K38</f>
        <v>440</v>
      </c>
      <c r="L86" s="73"/>
      <c r="M86" s="3" t="s">
        <v>246</v>
      </c>
      <c r="N86" s="73" t="s">
        <v>672</v>
      </c>
      <c r="O86" s="73"/>
      <c r="P86" s="1">
        <f>K74</f>
        <v>55</v>
      </c>
      <c r="Q86" s="1" t="s">
        <v>682</v>
      </c>
      <c r="R86" s="3" t="s">
        <v>214</v>
      </c>
      <c r="S86" s="152">
        <f>K86*AI74</f>
        <v>252.37363199446031</v>
      </c>
      <c r="T86" s="152"/>
      <c r="U86" s="152"/>
      <c r="V86" s="3" t="s">
        <v>183</v>
      </c>
    </row>
    <row r="87" spans="3:22" x14ac:dyDescent="0.15">
      <c r="S87" s="56"/>
      <c r="T87" s="56"/>
      <c r="U87" s="56"/>
    </row>
    <row r="88" spans="3:22" x14ac:dyDescent="0.15">
      <c r="C88" s="1" t="s">
        <v>253</v>
      </c>
      <c r="D88" s="3"/>
      <c r="E88" s="3"/>
      <c r="F88" s="3"/>
      <c r="G88" s="3"/>
      <c r="H88" s="3"/>
      <c r="I88" s="3"/>
      <c r="K88" s="3"/>
      <c r="M88" s="3"/>
      <c r="N88" s="3"/>
      <c r="P88" s="3"/>
      <c r="S88" s="56"/>
      <c r="T88" s="56"/>
      <c r="U88" s="56"/>
    </row>
    <row r="89" spans="3:22" x14ac:dyDescent="0.15">
      <c r="D89" s="3" t="s">
        <v>254</v>
      </c>
      <c r="E89" s="3" t="s">
        <v>214</v>
      </c>
      <c r="F89" s="3" t="s">
        <v>207</v>
      </c>
      <c r="G89" s="3" t="s">
        <v>246</v>
      </c>
      <c r="H89" s="73" t="s">
        <v>247</v>
      </c>
      <c r="I89" s="73"/>
      <c r="J89" s="3" t="s">
        <v>214</v>
      </c>
      <c r="K89" s="73">
        <f>K86</f>
        <v>440</v>
      </c>
      <c r="L89" s="73"/>
      <c r="M89" s="3" t="s">
        <v>246</v>
      </c>
      <c r="N89" s="73" t="s">
        <v>671</v>
      </c>
      <c r="O89" s="73"/>
      <c r="P89" s="1">
        <f>K74</f>
        <v>55</v>
      </c>
      <c r="Q89" s="1" t="s">
        <v>682</v>
      </c>
      <c r="R89" s="55" t="s">
        <v>195</v>
      </c>
      <c r="S89" s="152">
        <f>K89*AI73</f>
        <v>360.42689948715639</v>
      </c>
      <c r="T89" s="152"/>
      <c r="U89" s="152"/>
      <c r="V89" s="3" t="s">
        <v>183</v>
      </c>
    </row>
    <row r="106" spans="1:27" x14ac:dyDescent="0.15">
      <c r="B106" s="1" t="s">
        <v>613</v>
      </c>
      <c r="D106" s="1" t="s">
        <v>614</v>
      </c>
    </row>
    <row r="108" spans="1:27" x14ac:dyDescent="0.15">
      <c r="C108" s="1" t="s">
        <v>256</v>
      </c>
    </row>
    <row r="109" spans="1:27" x14ac:dyDescent="0.15">
      <c r="C109" s="1" t="s">
        <v>257</v>
      </c>
    </row>
    <row r="111" spans="1:27" ht="13.9" customHeight="1" x14ac:dyDescent="0.15"/>
    <row r="112" spans="1:27" ht="13.15" customHeight="1" x14ac:dyDescent="0.15">
      <c r="A112" s="198"/>
      <c r="B112" s="199"/>
      <c r="C112" s="199"/>
      <c r="D112" s="199"/>
      <c r="E112" s="199"/>
      <c r="F112" s="199"/>
      <c r="G112" s="199"/>
      <c r="H112" s="199"/>
      <c r="I112" s="200"/>
      <c r="J112" s="160" t="s">
        <v>258</v>
      </c>
      <c r="K112" s="160"/>
      <c r="L112" s="160"/>
      <c r="M112" s="160"/>
      <c r="N112" s="160"/>
      <c r="O112" s="160"/>
      <c r="P112" s="160" t="s">
        <v>259</v>
      </c>
      <c r="Q112" s="160"/>
      <c r="R112" s="160"/>
      <c r="S112" s="160"/>
      <c r="T112" s="160"/>
      <c r="U112" s="160"/>
      <c r="V112" s="146" t="s">
        <v>261</v>
      </c>
      <c r="W112" s="146"/>
      <c r="X112" s="146"/>
      <c r="Y112" s="146" t="s">
        <v>262</v>
      </c>
      <c r="Z112" s="146"/>
      <c r="AA112" s="146"/>
    </row>
    <row r="113" spans="1:27" ht="13.15" customHeight="1" x14ac:dyDescent="0.15">
      <c r="A113" s="201"/>
      <c r="B113" s="202"/>
      <c r="C113" s="202"/>
      <c r="D113" s="202"/>
      <c r="E113" s="202"/>
      <c r="F113" s="202"/>
      <c r="G113" s="202"/>
      <c r="H113" s="202"/>
      <c r="I113" s="203"/>
      <c r="J113" s="146" t="s">
        <v>260</v>
      </c>
      <c r="K113" s="146"/>
      <c r="L113" s="146"/>
      <c r="M113" s="146" t="s">
        <v>263</v>
      </c>
      <c r="N113" s="146"/>
      <c r="O113" s="146"/>
      <c r="P113" s="146" t="s">
        <v>260</v>
      </c>
      <c r="Q113" s="146"/>
      <c r="R113" s="146"/>
      <c r="S113" s="146" t="s">
        <v>263</v>
      </c>
      <c r="T113" s="146"/>
      <c r="U113" s="146"/>
      <c r="V113" s="146"/>
      <c r="W113" s="146"/>
      <c r="X113" s="146"/>
      <c r="Y113" s="146"/>
      <c r="Z113" s="146"/>
      <c r="AA113" s="146"/>
    </row>
    <row r="114" spans="1:27" ht="13.9" customHeight="1" x14ac:dyDescent="0.15">
      <c r="A114" s="204"/>
      <c r="B114" s="205"/>
      <c r="C114" s="205"/>
      <c r="D114" s="205"/>
      <c r="E114" s="205"/>
      <c r="F114" s="205"/>
      <c r="G114" s="205"/>
      <c r="H114" s="205"/>
      <c r="I114" s="20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</row>
    <row r="115" spans="1:27" ht="13.15" customHeight="1" x14ac:dyDescent="0.15">
      <c r="A115" s="192" t="s">
        <v>181</v>
      </c>
      <c r="B115" s="178" t="s">
        <v>264</v>
      </c>
      <c r="C115" s="178"/>
      <c r="D115" s="178"/>
      <c r="E115" s="178"/>
      <c r="F115" s="178"/>
      <c r="G115" s="178" t="s">
        <v>112</v>
      </c>
      <c r="H115" s="174" t="s">
        <v>183</v>
      </c>
      <c r="I115" s="175"/>
      <c r="J115" s="147">
        <f>-S78</f>
        <v>-737.23683986009257</v>
      </c>
      <c r="K115" s="148"/>
      <c r="L115" s="156"/>
      <c r="M115" s="147"/>
      <c r="N115" s="148"/>
      <c r="O115" s="156"/>
      <c r="P115" s="147">
        <f>S78</f>
        <v>737.23683986009257</v>
      </c>
      <c r="Q115" s="148"/>
      <c r="R115" s="156"/>
      <c r="S115" s="147"/>
      <c r="T115" s="148"/>
      <c r="U115" s="156"/>
      <c r="V115" s="138">
        <v>0</v>
      </c>
      <c r="W115" s="139"/>
      <c r="X115" s="145"/>
      <c r="Y115" s="138">
        <v>0</v>
      </c>
      <c r="Z115" s="139"/>
      <c r="AA115" s="145"/>
    </row>
    <row r="116" spans="1:27" x14ac:dyDescent="0.15">
      <c r="A116" s="193"/>
      <c r="B116" s="101"/>
      <c r="C116" s="101"/>
      <c r="D116" s="101"/>
      <c r="E116" s="101"/>
      <c r="F116" s="101"/>
      <c r="G116" s="101"/>
      <c r="H116" s="176"/>
      <c r="I116" s="177"/>
      <c r="J116" s="157"/>
      <c r="K116" s="158"/>
      <c r="L116" s="159"/>
      <c r="M116" s="157"/>
      <c r="N116" s="158"/>
      <c r="O116" s="159"/>
      <c r="P116" s="157"/>
      <c r="Q116" s="158"/>
      <c r="R116" s="159"/>
      <c r="S116" s="157"/>
      <c r="T116" s="158"/>
      <c r="U116" s="159"/>
      <c r="V116" s="153"/>
      <c r="W116" s="154"/>
      <c r="X116" s="155"/>
      <c r="Y116" s="153"/>
      <c r="Z116" s="154"/>
      <c r="AA116" s="155"/>
    </row>
    <row r="117" spans="1:27" x14ac:dyDescent="0.15">
      <c r="A117" s="193"/>
      <c r="B117" s="162" t="s">
        <v>182</v>
      </c>
      <c r="C117" s="162"/>
      <c r="D117" s="162"/>
      <c r="E117" s="162"/>
      <c r="F117" s="162"/>
      <c r="G117" s="16" t="s">
        <v>265</v>
      </c>
      <c r="H117" s="135" t="s">
        <v>184</v>
      </c>
      <c r="I117" s="137"/>
      <c r="J117" s="124">
        <f>G197*10^-6</f>
        <v>330.28210425732146</v>
      </c>
      <c r="K117" s="125"/>
      <c r="L117" s="126"/>
      <c r="M117" s="124"/>
      <c r="N117" s="125"/>
      <c r="O117" s="126"/>
      <c r="P117" s="124">
        <f>J117</f>
        <v>330.28210425732146</v>
      </c>
      <c r="Q117" s="125"/>
      <c r="R117" s="126"/>
      <c r="S117" s="124"/>
      <c r="T117" s="125"/>
      <c r="U117" s="126"/>
      <c r="V117" s="124">
        <f>S89*G394/1000</f>
        <v>216.25613969229383</v>
      </c>
      <c r="W117" s="125"/>
      <c r="X117" s="126"/>
      <c r="Y117" s="124">
        <f>S89*G449/1000</f>
        <v>216.25613969229383</v>
      </c>
      <c r="Z117" s="125"/>
      <c r="AA117" s="126"/>
    </row>
    <row r="118" spans="1:27" x14ac:dyDescent="0.15">
      <c r="A118" s="194"/>
      <c r="B118" s="86" t="s">
        <v>266</v>
      </c>
      <c r="C118" s="86"/>
      <c r="D118" s="86"/>
      <c r="E118" s="86"/>
      <c r="F118" s="86"/>
      <c r="G118" s="86"/>
      <c r="H118" s="135" t="s">
        <v>184</v>
      </c>
      <c r="I118" s="137"/>
      <c r="J118" s="124">
        <f>J117+J115*J136/1000</f>
        <v>201.26565728180526</v>
      </c>
      <c r="K118" s="125"/>
      <c r="L118" s="126"/>
      <c r="M118" s="124"/>
      <c r="N118" s="125"/>
      <c r="O118" s="126"/>
      <c r="P118" s="124">
        <f>P117+P115*P136/1000</f>
        <v>459.29855123283767</v>
      </c>
      <c r="Q118" s="125"/>
      <c r="R118" s="126"/>
      <c r="S118" s="124"/>
      <c r="T118" s="125"/>
      <c r="U118" s="126"/>
      <c r="V118" s="124">
        <f>V117+V115*V136/1000</f>
        <v>216.25613969229383</v>
      </c>
      <c r="W118" s="125"/>
      <c r="X118" s="126"/>
      <c r="Y118" s="124">
        <f>Y117+Y115*Y136/1000</f>
        <v>216.25613969229383</v>
      </c>
      <c r="Z118" s="125"/>
      <c r="AA118" s="126"/>
    </row>
    <row r="119" spans="1:27" x14ac:dyDescent="0.15">
      <c r="A119" s="192" t="s">
        <v>287</v>
      </c>
      <c r="B119" s="162" t="s">
        <v>267</v>
      </c>
      <c r="C119" s="162"/>
      <c r="D119" s="162"/>
      <c r="E119" s="162"/>
      <c r="F119" s="162" t="s">
        <v>48</v>
      </c>
      <c r="G119" s="162"/>
      <c r="H119" s="163" t="s">
        <v>69</v>
      </c>
      <c r="I119" s="117"/>
      <c r="J119" s="183">
        <v>1300</v>
      </c>
      <c r="K119" s="184"/>
      <c r="L119" s="184"/>
      <c r="M119" s="138"/>
      <c r="N119" s="139"/>
      <c r="O119" s="139"/>
      <c r="P119" s="183">
        <v>1300</v>
      </c>
      <c r="Q119" s="184"/>
      <c r="R119" s="184"/>
      <c r="S119" s="140"/>
      <c r="T119" s="141"/>
      <c r="U119" s="187"/>
      <c r="V119" s="96">
        <v>650</v>
      </c>
      <c r="W119" s="96"/>
      <c r="X119" s="96"/>
      <c r="Y119" s="96">
        <v>650</v>
      </c>
      <c r="Z119" s="96"/>
      <c r="AA119" s="96"/>
    </row>
    <row r="120" spans="1:27" x14ac:dyDescent="0.15">
      <c r="A120" s="193"/>
      <c r="B120" s="162" t="s">
        <v>268</v>
      </c>
      <c r="C120" s="162"/>
      <c r="D120" s="162"/>
      <c r="E120" s="162"/>
      <c r="F120" s="162" t="s">
        <v>29</v>
      </c>
      <c r="G120" s="162"/>
      <c r="H120" s="165" t="s">
        <v>69</v>
      </c>
      <c r="I120" s="166"/>
      <c r="J120" s="183">
        <v>650</v>
      </c>
      <c r="K120" s="184"/>
      <c r="L120" s="184"/>
      <c r="M120" s="138"/>
      <c r="N120" s="139"/>
      <c r="O120" s="139"/>
      <c r="P120" s="183">
        <v>650</v>
      </c>
      <c r="Q120" s="184"/>
      <c r="R120" s="184"/>
      <c r="S120" s="138"/>
      <c r="T120" s="139"/>
      <c r="U120" s="139"/>
      <c r="V120" s="96">
        <v>1300</v>
      </c>
      <c r="W120" s="96"/>
      <c r="X120" s="96"/>
      <c r="Y120" s="96">
        <v>1300</v>
      </c>
      <c r="Z120" s="96"/>
      <c r="AA120" s="96"/>
    </row>
    <row r="121" spans="1:27" x14ac:dyDescent="0.15">
      <c r="A121" s="193"/>
      <c r="B121" s="162" t="s">
        <v>269</v>
      </c>
      <c r="C121" s="162"/>
      <c r="D121" s="162"/>
      <c r="E121" s="162"/>
      <c r="F121" s="162" t="s">
        <v>272</v>
      </c>
      <c r="G121" s="162"/>
      <c r="H121" s="165" t="s">
        <v>296</v>
      </c>
      <c r="I121" s="166"/>
      <c r="J121" s="183" t="s">
        <v>298</v>
      </c>
      <c r="K121" s="184"/>
      <c r="L121" s="184"/>
      <c r="M121" s="138"/>
      <c r="N121" s="139"/>
      <c r="O121" s="139"/>
      <c r="P121" s="183" t="s">
        <v>298</v>
      </c>
      <c r="Q121" s="184"/>
      <c r="R121" s="184"/>
      <c r="S121" s="138"/>
      <c r="T121" s="139"/>
      <c r="U121" s="139"/>
      <c r="V121" s="96" t="s">
        <v>298</v>
      </c>
      <c r="W121" s="96"/>
      <c r="X121" s="96"/>
      <c r="Y121" s="96" t="s">
        <v>570</v>
      </c>
      <c r="Z121" s="96"/>
      <c r="AA121" s="96"/>
    </row>
    <row r="122" spans="1:27" x14ac:dyDescent="0.15">
      <c r="A122" s="193"/>
      <c r="B122" s="162" t="s">
        <v>270</v>
      </c>
      <c r="C122" s="162"/>
      <c r="D122" s="162"/>
      <c r="E122" s="162"/>
      <c r="F122" s="162" t="s">
        <v>186</v>
      </c>
      <c r="G122" s="162"/>
      <c r="H122" s="165" t="s">
        <v>296</v>
      </c>
      <c r="I122" s="166"/>
      <c r="J122" s="183">
        <v>4</v>
      </c>
      <c r="K122" s="184"/>
      <c r="L122" s="184"/>
      <c r="M122" s="138"/>
      <c r="N122" s="139"/>
      <c r="O122" s="139"/>
      <c r="P122" s="183">
        <v>4</v>
      </c>
      <c r="Q122" s="184"/>
      <c r="R122" s="184"/>
      <c r="S122" s="138"/>
      <c r="T122" s="139"/>
      <c r="U122" s="139"/>
      <c r="V122" s="96">
        <v>2</v>
      </c>
      <c r="W122" s="96"/>
      <c r="X122" s="96"/>
      <c r="Y122" s="96">
        <v>2</v>
      </c>
      <c r="Z122" s="96"/>
      <c r="AA122" s="96"/>
    </row>
    <row r="123" spans="1:27" x14ac:dyDescent="0.15">
      <c r="A123" s="193"/>
      <c r="B123" s="162"/>
      <c r="C123" s="162"/>
      <c r="D123" s="162"/>
      <c r="E123" s="162"/>
      <c r="F123" s="162" t="s">
        <v>277</v>
      </c>
      <c r="G123" s="162"/>
      <c r="H123" s="165" t="s">
        <v>537</v>
      </c>
      <c r="I123" s="166"/>
      <c r="J123" s="138">
        <f>1473.1*J122</f>
        <v>5892.4</v>
      </c>
      <c r="K123" s="139"/>
      <c r="L123" s="139"/>
      <c r="M123" s="138"/>
      <c r="N123" s="139"/>
      <c r="O123" s="139"/>
      <c r="P123" s="138">
        <f>1473.1*P122</f>
        <v>5892.4</v>
      </c>
      <c r="Q123" s="139"/>
      <c r="R123" s="139"/>
      <c r="S123" s="138"/>
      <c r="T123" s="139"/>
      <c r="U123" s="139"/>
      <c r="V123" s="138">
        <f>1473.1*V122</f>
        <v>2946.2</v>
      </c>
      <c r="W123" s="139"/>
      <c r="X123" s="139"/>
      <c r="Y123" s="97">
        <f>1473.1*Y122</f>
        <v>2946.2</v>
      </c>
      <c r="Z123" s="97"/>
      <c r="AA123" s="97"/>
    </row>
    <row r="124" spans="1:27" x14ac:dyDescent="0.15">
      <c r="A124" s="193"/>
      <c r="B124" s="162"/>
      <c r="C124" s="162"/>
      <c r="D124" s="162"/>
      <c r="E124" s="162"/>
      <c r="F124" s="162" t="s">
        <v>278</v>
      </c>
      <c r="G124" s="162"/>
      <c r="H124" s="165" t="s">
        <v>538</v>
      </c>
      <c r="I124" s="166"/>
      <c r="J124" s="183">
        <v>500</v>
      </c>
      <c r="K124" s="184"/>
      <c r="L124" s="184"/>
      <c r="M124" s="138"/>
      <c r="N124" s="139"/>
      <c r="O124" s="139"/>
      <c r="P124" s="183">
        <v>500</v>
      </c>
      <c r="Q124" s="184"/>
      <c r="R124" s="184"/>
      <c r="S124" s="138"/>
      <c r="T124" s="139"/>
      <c r="U124" s="139"/>
      <c r="V124" s="96">
        <v>1150</v>
      </c>
      <c r="W124" s="96"/>
      <c r="X124" s="96"/>
      <c r="Y124" s="96">
        <v>1150</v>
      </c>
      <c r="Z124" s="96"/>
      <c r="AA124" s="96"/>
    </row>
    <row r="125" spans="1:27" x14ac:dyDescent="0.15">
      <c r="A125" s="193"/>
      <c r="B125" s="162" t="s">
        <v>271</v>
      </c>
      <c r="C125" s="162"/>
      <c r="D125" s="162"/>
      <c r="E125" s="162"/>
      <c r="F125" s="162" t="s">
        <v>186</v>
      </c>
      <c r="G125" s="162"/>
      <c r="H125" s="165" t="s">
        <v>539</v>
      </c>
      <c r="I125" s="166"/>
      <c r="J125" s="138">
        <v>0</v>
      </c>
      <c r="K125" s="139"/>
      <c r="L125" s="139"/>
      <c r="M125" s="138"/>
      <c r="N125" s="139"/>
      <c r="O125" s="139"/>
      <c r="P125" s="138">
        <v>0</v>
      </c>
      <c r="Q125" s="139"/>
      <c r="R125" s="139"/>
      <c r="S125" s="138"/>
      <c r="T125" s="139"/>
      <c r="U125" s="139"/>
      <c r="V125" s="96">
        <v>2</v>
      </c>
      <c r="W125" s="96"/>
      <c r="X125" s="96"/>
      <c r="Y125" s="96">
        <v>2</v>
      </c>
      <c r="Z125" s="96"/>
      <c r="AA125" s="96"/>
    </row>
    <row r="126" spans="1:27" x14ac:dyDescent="0.15">
      <c r="A126" s="193"/>
      <c r="B126" s="162"/>
      <c r="C126" s="162"/>
      <c r="D126" s="162"/>
      <c r="E126" s="162"/>
      <c r="F126" s="162" t="s">
        <v>273</v>
      </c>
      <c r="G126" s="162"/>
      <c r="H126" s="165" t="s">
        <v>537</v>
      </c>
      <c r="I126" s="166"/>
      <c r="J126" s="138">
        <v>0</v>
      </c>
      <c r="K126" s="139"/>
      <c r="L126" s="139"/>
      <c r="M126" s="138"/>
      <c r="N126" s="139"/>
      <c r="O126" s="139"/>
      <c r="P126" s="138">
        <v>0</v>
      </c>
      <c r="Q126" s="139"/>
      <c r="R126" s="139"/>
      <c r="S126" s="138"/>
      <c r="T126" s="139"/>
      <c r="U126" s="139"/>
      <c r="V126" s="138">
        <f>1473.1*V125</f>
        <v>2946.2</v>
      </c>
      <c r="W126" s="139"/>
      <c r="X126" s="139"/>
      <c r="Y126" s="97">
        <f>1473.1*Y125</f>
        <v>2946.2</v>
      </c>
      <c r="Z126" s="97"/>
      <c r="AA126" s="97"/>
    </row>
    <row r="127" spans="1:27" x14ac:dyDescent="0.15">
      <c r="A127" s="193"/>
      <c r="B127" s="162"/>
      <c r="C127" s="162"/>
      <c r="D127" s="162"/>
      <c r="E127" s="162"/>
      <c r="F127" s="162" t="s">
        <v>274</v>
      </c>
      <c r="G127" s="162"/>
      <c r="H127" s="165" t="s">
        <v>540</v>
      </c>
      <c r="I127" s="166"/>
      <c r="J127" s="138" t="s">
        <v>296</v>
      </c>
      <c r="K127" s="139"/>
      <c r="L127" s="139"/>
      <c r="M127" s="138"/>
      <c r="N127" s="139"/>
      <c r="O127" s="139"/>
      <c r="P127" s="138" t="s">
        <v>296</v>
      </c>
      <c r="Q127" s="139"/>
      <c r="R127" s="139"/>
      <c r="S127" s="138"/>
      <c r="T127" s="139"/>
      <c r="U127" s="139"/>
      <c r="V127" s="96">
        <v>860</v>
      </c>
      <c r="W127" s="96"/>
      <c r="X127" s="96"/>
      <c r="Y127" s="96">
        <v>900</v>
      </c>
      <c r="Z127" s="96"/>
      <c r="AA127" s="96"/>
    </row>
    <row r="128" spans="1:27" x14ac:dyDescent="0.15">
      <c r="A128" s="193"/>
      <c r="B128" s="162" t="s">
        <v>275</v>
      </c>
      <c r="C128" s="162"/>
      <c r="D128" s="162"/>
      <c r="E128" s="162"/>
      <c r="F128" s="162" t="s">
        <v>186</v>
      </c>
      <c r="G128" s="162"/>
      <c r="H128" s="165" t="s">
        <v>296</v>
      </c>
      <c r="I128" s="166"/>
      <c r="J128" s="138">
        <v>0</v>
      </c>
      <c r="K128" s="139"/>
      <c r="L128" s="139"/>
      <c r="M128" s="138"/>
      <c r="N128" s="139"/>
      <c r="O128" s="139"/>
      <c r="P128" s="138">
        <v>0</v>
      </c>
      <c r="Q128" s="139"/>
      <c r="R128" s="139"/>
      <c r="S128" s="138"/>
      <c r="T128" s="139"/>
      <c r="U128" s="139"/>
      <c r="V128" s="97">
        <v>0</v>
      </c>
      <c r="W128" s="97"/>
      <c r="X128" s="97"/>
      <c r="Y128" s="97">
        <v>0</v>
      </c>
      <c r="Z128" s="97"/>
      <c r="AA128" s="97"/>
    </row>
    <row r="129" spans="1:27" x14ac:dyDescent="0.15">
      <c r="A129" s="193"/>
      <c r="B129" s="162"/>
      <c r="C129" s="162"/>
      <c r="D129" s="162"/>
      <c r="E129" s="162"/>
      <c r="F129" s="162" t="s">
        <v>279</v>
      </c>
      <c r="G129" s="162"/>
      <c r="H129" s="165" t="s">
        <v>537</v>
      </c>
      <c r="I129" s="166"/>
      <c r="J129" s="138">
        <v>0</v>
      </c>
      <c r="K129" s="139"/>
      <c r="L129" s="139"/>
      <c r="M129" s="138"/>
      <c r="N129" s="139"/>
      <c r="O129" s="139"/>
      <c r="P129" s="138">
        <v>0</v>
      </c>
      <c r="Q129" s="139"/>
      <c r="R129" s="139"/>
      <c r="S129" s="138"/>
      <c r="T129" s="139"/>
      <c r="U129" s="139"/>
      <c r="V129" s="97">
        <v>0</v>
      </c>
      <c r="W129" s="97"/>
      <c r="X129" s="97"/>
      <c r="Y129" s="97">
        <v>0</v>
      </c>
      <c r="Z129" s="97"/>
      <c r="AA129" s="97"/>
    </row>
    <row r="130" spans="1:27" x14ac:dyDescent="0.15">
      <c r="A130" s="193"/>
      <c r="B130" s="162"/>
      <c r="C130" s="162"/>
      <c r="D130" s="162"/>
      <c r="E130" s="162"/>
      <c r="F130" s="162" t="s">
        <v>280</v>
      </c>
      <c r="G130" s="162"/>
      <c r="H130" s="165" t="s">
        <v>538</v>
      </c>
      <c r="I130" s="166"/>
      <c r="J130" s="138" t="s">
        <v>296</v>
      </c>
      <c r="K130" s="139"/>
      <c r="L130" s="139"/>
      <c r="M130" s="138"/>
      <c r="N130" s="139"/>
      <c r="O130" s="139"/>
      <c r="P130" s="138" t="s">
        <v>296</v>
      </c>
      <c r="Q130" s="139"/>
      <c r="R130" s="139"/>
      <c r="S130" s="138"/>
      <c r="T130" s="139"/>
      <c r="U130" s="139"/>
      <c r="V130" s="97" t="s">
        <v>296</v>
      </c>
      <c r="W130" s="97"/>
      <c r="X130" s="97"/>
      <c r="Y130" s="97" t="s">
        <v>571</v>
      </c>
      <c r="Z130" s="97"/>
      <c r="AA130" s="97"/>
    </row>
    <row r="131" spans="1:27" x14ac:dyDescent="0.15">
      <c r="A131" s="193"/>
      <c r="B131" s="162" t="s">
        <v>276</v>
      </c>
      <c r="C131" s="162"/>
      <c r="D131" s="162"/>
      <c r="E131" s="162"/>
      <c r="F131" s="162" t="s">
        <v>186</v>
      </c>
      <c r="G131" s="162"/>
      <c r="H131" s="165" t="s">
        <v>539</v>
      </c>
      <c r="I131" s="166"/>
      <c r="J131" s="138">
        <v>0</v>
      </c>
      <c r="K131" s="139"/>
      <c r="L131" s="139"/>
      <c r="M131" s="138"/>
      <c r="N131" s="139"/>
      <c r="O131" s="139"/>
      <c r="P131" s="138">
        <v>0</v>
      </c>
      <c r="Q131" s="139"/>
      <c r="R131" s="139"/>
      <c r="S131" s="138"/>
      <c r="T131" s="139"/>
      <c r="U131" s="139"/>
      <c r="V131" s="97">
        <v>0</v>
      </c>
      <c r="W131" s="97"/>
      <c r="X131" s="97"/>
      <c r="Y131" s="97">
        <v>0</v>
      </c>
      <c r="Z131" s="97"/>
      <c r="AA131" s="97"/>
    </row>
    <row r="132" spans="1:27" x14ac:dyDescent="0.15">
      <c r="A132" s="193"/>
      <c r="B132" s="162"/>
      <c r="C132" s="162"/>
      <c r="D132" s="162"/>
      <c r="E132" s="162"/>
      <c r="F132" s="162" t="s">
        <v>282</v>
      </c>
      <c r="G132" s="162"/>
      <c r="H132" s="165" t="s">
        <v>537</v>
      </c>
      <c r="I132" s="166"/>
      <c r="J132" s="138">
        <v>0</v>
      </c>
      <c r="K132" s="139"/>
      <c r="L132" s="139"/>
      <c r="M132" s="138"/>
      <c r="N132" s="139"/>
      <c r="O132" s="139"/>
      <c r="P132" s="138">
        <v>0</v>
      </c>
      <c r="Q132" s="139"/>
      <c r="R132" s="139"/>
      <c r="S132" s="138"/>
      <c r="T132" s="139"/>
      <c r="U132" s="139"/>
      <c r="V132" s="97">
        <v>0</v>
      </c>
      <c r="W132" s="97"/>
      <c r="X132" s="97"/>
      <c r="Y132" s="97">
        <v>0</v>
      </c>
      <c r="Z132" s="97"/>
      <c r="AA132" s="97"/>
    </row>
    <row r="133" spans="1:27" x14ac:dyDescent="0.15">
      <c r="A133" s="193"/>
      <c r="B133" s="162"/>
      <c r="C133" s="162"/>
      <c r="D133" s="162"/>
      <c r="E133" s="162"/>
      <c r="F133" s="162" t="s">
        <v>281</v>
      </c>
      <c r="G133" s="162"/>
      <c r="H133" s="165" t="s">
        <v>69</v>
      </c>
      <c r="I133" s="166"/>
      <c r="J133" s="138" t="s">
        <v>296</v>
      </c>
      <c r="K133" s="139"/>
      <c r="L133" s="139"/>
      <c r="M133" s="138"/>
      <c r="N133" s="139"/>
      <c r="O133" s="139"/>
      <c r="P133" s="138" t="s">
        <v>296</v>
      </c>
      <c r="Q133" s="139"/>
      <c r="R133" s="139"/>
      <c r="S133" s="138"/>
      <c r="T133" s="139"/>
      <c r="U133" s="139"/>
      <c r="V133" s="97" t="s">
        <v>296</v>
      </c>
      <c r="W133" s="97"/>
      <c r="X133" s="97"/>
      <c r="Y133" s="97" t="s">
        <v>571</v>
      </c>
      <c r="Z133" s="97"/>
      <c r="AA133" s="97"/>
    </row>
    <row r="134" spans="1:27" x14ac:dyDescent="0.15">
      <c r="A134" s="193"/>
      <c r="B134" s="162" t="s">
        <v>283</v>
      </c>
      <c r="C134" s="162"/>
      <c r="D134" s="162"/>
      <c r="E134" s="162"/>
      <c r="F134" s="162" t="s">
        <v>179</v>
      </c>
      <c r="G134" s="162"/>
      <c r="H134" s="165" t="s">
        <v>541</v>
      </c>
      <c r="I134" s="166"/>
      <c r="J134" s="138">
        <v>15</v>
      </c>
      <c r="K134" s="139"/>
      <c r="L134" s="139"/>
      <c r="M134" s="138"/>
      <c r="N134" s="139"/>
      <c r="O134" s="139"/>
      <c r="P134" s="138">
        <v>15</v>
      </c>
      <c r="Q134" s="139"/>
      <c r="R134" s="139"/>
      <c r="S134" s="138"/>
      <c r="T134" s="139"/>
      <c r="U134" s="139"/>
      <c r="V134" s="97">
        <v>15</v>
      </c>
      <c r="W134" s="97"/>
      <c r="X134" s="97"/>
      <c r="Y134" s="97">
        <v>15</v>
      </c>
      <c r="Z134" s="97"/>
      <c r="AA134" s="97"/>
    </row>
    <row r="135" spans="1:27" x14ac:dyDescent="0.15">
      <c r="A135" s="193"/>
      <c r="B135" s="86" t="s">
        <v>284</v>
      </c>
      <c r="C135" s="86"/>
      <c r="D135" s="86"/>
      <c r="E135" s="86"/>
      <c r="F135" s="86"/>
      <c r="G135" s="86"/>
      <c r="H135" s="165" t="s">
        <v>539</v>
      </c>
      <c r="I135" s="166"/>
      <c r="J135" s="142">
        <f>J123/(J119*J124)</f>
        <v>9.0652307692307681E-3</v>
      </c>
      <c r="K135" s="143"/>
      <c r="L135" s="143"/>
      <c r="M135" s="142"/>
      <c r="N135" s="143"/>
      <c r="O135" s="143"/>
      <c r="P135" s="142">
        <f>P123/(P119*P124)</f>
        <v>9.0652307692307681E-3</v>
      </c>
      <c r="Q135" s="143"/>
      <c r="R135" s="143"/>
      <c r="S135" s="142"/>
      <c r="T135" s="143"/>
      <c r="U135" s="143"/>
      <c r="V135" s="142">
        <f>V123/(V119*V124)+V126/(V119*V127)</f>
        <v>9.2118876876409739E-3</v>
      </c>
      <c r="W135" s="143"/>
      <c r="X135" s="143"/>
      <c r="Y135" s="142">
        <f>Y123/(Y119*Y124)+Y126/(Y119*Y127)</f>
        <v>8.9776439985135639E-3</v>
      </c>
      <c r="Z135" s="143"/>
      <c r="AA135" s="144"/>
    </row>
    <row r="136" spans="1:27" x14ac:dyDescent="0.15">
      <c r="A136" s="193"/>
      <c r="B136" s="86" t="s">
        <v>286</v>
      </c>
      <c r="C136" s="86"/>
      <c r="D136" s="86"/>
      <c r="E136" s="86"/>
      <c r="F136" s="86"/>
      <c r="G136" s="86"/>
      <c r="H136" s="165" t="s">
        <v>69</v>
      </c>
      <c r="I136" s="166"/>
      <c r="J136" s="138">
        <f>J120/2-(J120-J124)</f>
        <v>175</v>
      </c>
      <c r="K136" s="139"/>
      <c r="L136" s="139"/>
      <c r="M136" s="138"/>
      <c r="N136" s="139"/>
      <c r="O136" s="139"/>
      <c r="P136" s="138">
        <f>P120/2-(P120-P124)</f>
        <v>175</v>
      </c>
      <c r="Q136" s="139"/>
      <c r="R136" s="139"/>
      <c r="S136" s="138"/>
      <c r="T136" s="139"/>
      <c r="U136" s="139"/>
      <c r="V136" s="138">
        <f>V120/2-(V120-V124)</f>
        <v>500</v>
      </c>
      <c r="W136" s="139"/>
      <c r="X136" s="139"/>
      <c r="Y136" s="138">
        <f>Y120/2-(Y120-Y124)</f>
        <v>500</v>
      </c>
      <c r="Z136" s="139"/>
      <c r="AA136" s="145"/>
    </row>
    <row r="137" spans="1:27" x14ac:dyDescent="0.15">
      <c r="A137" s="194"/>
      <c r="B137" s="86" t="s">
        <v>285</v>
      </c>
      <c r="C137" s="86"/>
      <c r="D137" s="86"/>
      <c r="E137" s="86"/>
      <c r="F137" s="86"/>
      <c r="G137" s="86"/>
      <c r="H137" s="165" t="s">
        <v>69</v>
      </c>
      <c r="I137" s="166"/>
      <c r="J137" s="138">
        <f>J117*10^6/(J115*10^3)+J136</f>
        <v>-273</v>
      </c>
      <c r="K137" s="139"/>
      <c r="L137" s="139"/>
      <c r="M137" s="138"/>
      <c r="N137" s="139"/>
      <c r="O137" s="139"/>
      <c r="P137" s="138">
        <f>P117*10^6/(P115*10^3)+P136</f>
        <v>623</v>
      </c>
      <c r="Q137" s="139"/>
      <c r="R137" s="139"/>
      <c r="S137" s="138"/>
      <c r="T137" s="139"/>
      <c r="U137" s="139"/>
      <c r="V137" s="138">
        <v>0</v>
      </c>
      <c r="W137" s="139"/>
      <c r="X137" s="139"/>
      <c r="Y137" s="138">
        <v>0</v>
      </c>
      <c r="Z137" s="139"/>
      <c r="AA137" s="145"/>
    </row>
    <row r="138" spans="1:27" ht="13.15" customHeight="1" x14ac:dyDescent="0.15">
      <c r="A138" s="195" t="s">
        <v>297</v>
      </c>
      <c r="B138" s="135" t="s">
        <v>288</v>
      </c>
      <c r="C138" s="136"/>
      <c r="D138" s="136"/>
      <c r="E138" s="137"/>
      <c r="F138" s="135" t="s">
        <v>16</v>
      </c>
      <c r="G138" s="137"/>
      <c r="H138" s="165" t="s">
        <v>69</v>
      </c>
      <c r="I138" s="166"/>
      <c r="J138" s="147">
        <v>147.19999999999999</v>
      </c>
      <c r="K138" s="148"/>
      <c r="L138" s="148"/>
      <c r="M138" s="138"/>
      <c r="N138" s="139"/>
      <c r="O138" s="139"/>
      <c r="P138" s="147">
        <v>269.5</v>
      </c>
      <c r="Q138" s="148"/>
      <c r="R138" s="148"/>
      <c r="S138" s="138"/>
      <c r="T138" s="139"/>
      <c r="U138" s="139"/>
      <c r="V138" s="108">
        <v>404.3</v>
      </c>
      <c r="W138" s="108"/>
      <c r="X138" s="108"/>
      <c r="Y138" s="108">
        <v>409.1</v>
      </c>
      <c r="Z138" s="108"/>
      <c r="AA138" s="108"/>
    </row>
    <row r="139" spans="1:27" x14ac:dyDescent="0.15">
      <c r="A139" s="196"/>
      <c r="B139" s="162" t="s">
        <v>289</v>
      </c>
      <c r="C139" s="162"/>
      <c r="D139" s="162"/>
      <c r="E139" s="162"/>
      <c r="F139" s="162"/>
      <c r="G139" s="162"/>
      <c r="H139" s="165" t="s">
        <v>171</v>
      </c>
      <c r="I139" s="166"/>
      <c r="J139" s="185">
        <v>6.35</v>
      </c>
      <c r="K139" s="186"/>
      <c r="L139" s="186"/>
      <c r="M139" s="138"/>
      <c r="N139" s="139"/>
      <c r="O139" s="139"/>
      <c r="P139" s="138">
        <v>7.4</v>
      </c>
      <c r="Q139" s="139"/>
      <c r="R139" s="139"/>
      <c r="S139" s="138"/>
      <c r="T139" s="139"/>
      <c r="U139" s="139"/>
      <c r="V139" s="97">
        <v>1.8</v>
      </c>
      <c r="W139" s="97"/>
      <c r="X139" s="97"/>
      <c r="Y139" s="97">
        <v>1.8</v>
      </c>
      <c r="Z139" s="97"/>
      <c r="AA139" s="97"/>
    </row>
    <row r="140" spans="1:27" x14ac:dyDescent="0.15">
      <c r="A140" s="196"/>
      <c r="B140" s="162" t="s">
        <v>290</v>
      </c>
      <c r="C140" s="162"/>
      <c r="D140" s="162"/>
      <c r="E140" s="162"/>
      <c r="F140" s="162"/>
      <c r="G140" s="162"/>
      <c r="H140" s="165" t="s">
        <v>171</v>
      </c>
      <c r="I140" s="166"/>
      <c r="J140" s="138">
        <v>13.5</v>
      </c>
      <c r="K140" s="139"/>
      <c r="L140" s="139"/>
      <c r="M140" s="138"/>
      <c r="N140" s="139"/>
      <c r="O140" s="139"/>
      <c r="P140" s="138">
        <v>13.5</v>
      </c>
      <c r="Q140" s="139"/>
      <c r="R140" s="139"/>
      <c r="S140" s="138"/>
      <c r="T140" s="139"/>
      <c r="U140" s="139"/>
      <c r="V140" s="97">
        <v>13.5</v>
      </c>
      <c r="W140" s="97"/>
      <c r="X140" s="97"/>
      <c r="Y140" s="97">
        <v>13.5</v>
      </c>
      <c r="Z140" s="97"/>
      <c r="AA140" s="97"/>
    </row>
    <row r="141" spans="1:27" x14ac:dyDescent="0.15">
      <c r="A141" s="196"/>
      <c r="B141" s="86" t="s">
        <v>578</v>
      </c>
      <c r="C141" s="86"/>
      <c r="D141" s="86"/>
      <c r="E141" s="86"/>
      <c r="F141" s="86"/>
      <c r="G141" s="86"/>
      <c r="H141" s="165" t="s">
        <v>296</v>
      </c>
      <c r="I141" s="166"/>
      <c r="J141" s="138" t="str">
        <f>IF(J139&lt;J140,"OK","NG")</f>
        <v>OK</v>
      </c>
      <c r="K141" s="139"/>
      <c r="L141" s="139"/>
      <c r="M141" s="138"/>
      <c r="N141" s="139"/>
      <c r="O141" s="139"/>
      <c r="P141" s="138" t="str">
        <f>IF(P139&lt;P140,"OK","NG")</f>
        <v>OK</v>
      </c>
      <c r="Q141" s="139"/>
      <c r="R141" s="139"/>
      <c r="S141" s="138"/>
      <c r="T141" s="139"/>
      <c r="U141" s="139"/>
      <c r="V141" s="97" t="str">
        <f>IF(V139&lt;V140,"OK","NG")</f>
        <v>OK</v>
      </c>
      <c r="W141" s="97"/>
      <c r="X141" s="97"/>
      <c r="Y141" s="97" t="str">
        <f>IF(Y139&lt;Y140,"OK","NG")</f>
        <v>OK</v>
      </c>
      <c r="Z141" s="97"/>
      <c r="AA141" s="97"/>
    </row>
    <row r="142" spans="1:27" x14ac:dyDescent="0.15">
      <c r="A142" s="196"/>
      <c r="B142" s="162" t="s">
        <v>295</v>
      </c>
      <c r="C142" s="162"/>
      <c r="D142" s="162"/>
      <c r="E142" s="162"/>
      <c r="F142" s="162"/>
      <c r="G142" s="162"/>
      <c r="H142" s="165" t="s">
        <v>171</v>
      </c>
      <c r="I142" s="166"/>
      <c r="J142" s="138">
        <v>228.2</v>
      </c>
      <c r="K142" s="139"/>
      <c r="L142" s="139"/>
      <c r="M142" s="138"/>
      <c r="N142" s="139"/>
      <c r="O142" s="139"/>
      <c r="P142" s="138">
        <v>95</v>
      </c>
      <c r="Q142" s="139"/>
      <c r="R142" s="139"/>
      <c r="S142" s="138"/>
      <c r="T142" s="139"/>
      <c r="U142" s="139"/>
      <c r="V142" s="97">
        <f>AVERAGE(V143:X144)</f>
        <v>40.5</v>
      </c>
      <c r="W142" s="97"/>
      <c r="X142" s="97"/>
      <c r="Y142" s="94">
        <f>AVERAGE(Y143:AA144)</f>
        <v>40.15</v>
      </c>
      <c r="Z142" s="94"/>
      <c r="AA142" s="94"/>
    </row>
    <row r="143" spans="1:27" x14ac:dyDescent="0.15">
      <c r="A143" s="196"/>
      <c r="B143" s="162" t="s">
        <v>291</v>
      </c>
      <c r="C143" s="162"/>
      <c r="D143" s="162"/>
      <c r="E143" s="162"/>
      <c r="F143" s="162"/>
      <c r="G143" s="162"/>
      <c r="H143" s="165" t="s">
        <v>171</v>
      </c>
      <c r="I143" s="166"/>
      <c r="J143" s="138">
        <v>228.2</v>
      </c>
      <c r="K143" s="139"/>
      <c r="L143" s="139"/>
      <c r="M143" s="138"/>
      <c r="N143" s="139"/>
      <c r="O143" s="139"/>
      <c r="P143" s="138">
        <v>95</v>
      </c>
      <c r="Q143" s="139"/>
      <c r="R143" s="139"/>
      <c r="S143" s="138"/>
      <c r="T143" s="139"/>
      <c r="U143" s="139"/>
      <c r="V143" s="97">
        <v>50.3</v>
      </c>
      <c r="W143" s="97"/>
      <c r="X143" s="97"/>
      <c r="Y143" s="97">
        <v>48.3</v>
      </c>
      <c r="Z143" s="97"/>
      <c r="AA143" s="97"/>
    </row>
    <row r="144" spans="1:27" x14ac:dyDescent="0.15">
      <c r="A144" s="196"/>
      <c r="B144" s="162" t="s">
        <v>292</v>
      </c>
      <c r="C144" s="162"/>
      <c r="D144" s="162"/>
      <c r="E144" s="162"/>
      <c r="F144" s="162"/>
      <c r="G144" s="162"/>
      <c r="H144" s="165" t="s">
        <v>171</v>
      </c>
      <c r="I144" s="166"/>
      <c r="J144" s="138"/>
      <c r="K144" s="139"/>
      <c r="L144" s="139"/>
      <c r="M144" s="138"/>
      <c r="N144" s="139"/>
      <c r="O144" s="139"/>
      <c r="P144" s="138"/>
      <c r="Q144" s="139"/>
      <c r="R144" s="139"/>
      <c r="S144" s="138"/>
      <c r="T144" s="139"/>
      <c r="U144" s="139"/>
      <c r="V144" s="97">
        <v>30.7</v>
      </c>
      <c r="W144" s="97"/>
      <c r="X144" s="97"/>
      <c r="Y144" s="97">
        <v>32</v>
      </c>
      <c r="Z144" s="97"/>
      <c r="AA144" s="97"/>
    </row>
    <row r="145" spans="1:27" x14ac:dyDescent="0.15">
      <c r="A145" s="196"/>
      <c r="B145" s="162" t="s">
        <v>293</v>
      </c>
      <c r="C145" s="162"/>
      <c r="D145" s="162"/>
      <c r="E145" s="162"/>
      <c r="F145" s="162"/>
      <c r="G145" s="162"/>
      <c r="H145" s="165" t="s">
        <v>171</v>
      </c>
      <c r="I145" s="166"/>
      <c r="J145" s="138"/>
      <c r="K145" s="139"/>
      <c r="L145" s="139"/>
      <c r="M145" s="138"/>
      <c r="N145" s="139"/>
      <c r="O145" s="139"/>
      <c r="P145" s="138"/>
      <c r="Q145" s="139"/>
      <c r="R145" s="139"/>
      <c r="S145" s="138"/>
      <c r="T145" s="139"/>
      <c r="U145" s="139"/>
      <c r="V145" s="97"/>
      <c r="W145" s="97"/>
      <c r="X145" s="97"/>
      <c r="Y145" s="97"/>
      <c r="Z145" s="97"/>
      <c r="AA145" s="97"/>
    </row>
    <row r="146" spans="1:27" x14ac:dyDescent="0.15">
      <c r="A146" s="196"/>
      <c r="B146" s="162" t="s">
        <v>294</v>
      </c>
      <c r="C146" s="162"/>
      <c r="D146" s="162"/>
      <c r="E146" s="162"/>
      <c r="F146" s="162"/>
      <c r="G146" s="162"/>
      <c r="H146" s="165" t="s">
        <v>171</v>
      </c>
      <c r="I146" s="166"/>
      <c r="J146" s="138"/>
      <c r="K146" s="139"/>
      <c r="L146" s="139"/>
      <c r="M146" s="138"/>
      <c r="N146" s="139"/>
      <c r="O146" s="139"/>
      <c r="P146" s="138"/>
      <c r="Q146" s="139"/>
      <c r="R146" s="139"/>
      <c r="S146" s="138"/>
      <c r="T146" s="139"/>
      <c r="U146" s="139"/>
      <c r="V146" s="97"/>
      <c r="W146" s="97"/>
      <c r="X146" s="97"/>
      <c r="Y146" s="97"/>
      <c r="Z146" s="97"/>
      <c r="AA146" s="97"/>
    </row>
    <row r="147" spans="1:27" x14ac:dyDescent="0.15">
      <c r="A147" s="196"/>
      <c r="B147" s="162" t="s">
        <v>542</v>
      </c>
      <c r="C147" s="162"/>
      <c r="D147" s="162"/>
      <c r="E147" s="162"/>
      <c r="F147" s="162"/>
      <c r="G147" s="162"/>
      <c r="H147" s="165" t="s">
        <v>171</v>
      </c>
      <c r="I147" s="166"/>
      <c r="J147" s="138">
        <v>345</v>
      </c>
      <c r="K147" s="139"/>
      <c r="L147" s="139"/>
      <c r="M147" s="138"/>
      <c r="N147" s="139"/>
      <c r="O147" s="139"/>
      <c r="P147" s="138">
        <v>345</v>
      </c>
      <c r="Q147" s="139"/>
      <c r="R147" s="139"/>
      <c r="S147" s="138"/>
      <c r="T147" s="139"/>
      <c r="U147" s="139"/>
      <c r="V147" s="97">
        <v>345</v>
      </c>
      <c r="W147" s="97"/>
      <c r="X147" s="97"/>
      <c r="Y147" s="97">
        <v>345</v>
      </c>
      <c r="Z147" s="97"/>
      <c r="AA147" s="97"/>
    </row>
    <row r="148" spans="1:27" x14ac:dyDescent="0.15">
      <c r="A148" s="197"/>
      <c r="B148" s="162" t="s">
        <v>680</v>
      </c>
      <c r="C148" s="162"/>
      <c r="D148" s="162"/>
      <c r="E148" s="162"/>
      <c r="F148" s="162"/>
      <c r="G148" s="162"/>
      <c r="H148" s="169" t="s">
        <v>296</v>
      </c>
      <c r="I148" s="75"/>
      <c r="J148" s="140" t="str">
        <f>IF(J142&lt;J147,"OK","NG")</f>
        <v>OK</v>
      </c>
      <c r="K148" s="141"/>
      <c r="L148" s="141"/>
      <c r="M148" s="140"/>
      <c r="N148" s="141"/>
      <c r="O148" s="141"/>
      <c r="P148" s="140" t="str">
        <f t="shared" ref="P148" si="0">IF(P142&lt;P147,"OK","NG")</f>
        <v>OK</v>
      </c>
      <c r="Q148" s="141"/>
      <c r="R148" s="141"/>
      <c r="S148" s="140"/>
      <c r="T148" s="141"/>
      <c r="U148" s="141"/>
      <c r="V148" s="140" t="str">
        <f t="shared" ref="V148" si="1">IF(V142&lt;V147,"OK","NG")</f>
        <v>OK</v>
      </c>
      <c r="W148" s="141"/>
      <c r="X148" s="141"/>
      <c r="Y148" s="140" t="str">
        <f t="shared" ref="Y148" si="2">IF(Y142&lt;Y147,"OK","NG")</f>
        <v>OK</v>
      </c>
      <c r="Z148" s="141"/>
      <c r="AA148" s="141"/>
    </row>
    <row r="149" spans="1:27" x14ac:dyDescent="0.15">
      <c r="A149" s="19"/>
      <c r="B149" s="19"/>
      <c r="C149" s="19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</row>
    <row r="150" spans="1:27" x14ac:dyDescent="0.15">
      <c r="A150" s="19"/>
      <c r="B150" s="19"/>
      <c r="C150" s="19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</row>
    <row r="151" spans="1:27" x14ac:dyDescent="0.15">
      <c r="A151" s="19"/>
      <c r="B151" s="19"/>
      <c r="C151" s="19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</row>
    <row r="152" spans="1:27" x14ac:dyDescent="0.15">
      <c r="B152" s="1" t="s">
        <v>299</v>
      </c>
    </row>
    <row r="154" spans="1:27" x14ac:dyDescent="0.15">
      <c r="B154" s="129" t="s">
        <v>185</v>
      </c>
      <c r="C154" s="129"/>
      <c r="D154" s="129"/>
      <c r="E154" s="129"/>
      <c r="F154" s="129"/>
      <c r="G154" s="21"/>
      <c r="H154" s="22" t="s">
        <v>582</v>
      </c>
      <c r="I154" s="21" t="s">
        <v>583</v>
      </c>
      <c r="J154" s="21"/>
      <c r="K154" s="21"/>
      <c r="L154" s="21"/>
      <c r="M154" s="21"/>
      <c r="N154" s="23"/>
      <c r="O154" s="23"/>
      <c r="P154" s="23"/>
    </row>
    <row r="155" spans="1:27" x14ac:dyDescent="0.15">
      <c r="B155" s="72" t="s">
        <v>584</v>
      </c>
      <c r="C155" s="72"/>
      <c r="D155" s="72" t="s">
        <v>585</v>
      </c>
      <c r="E155" s="72"/>
      <c r="F155" s="72"/>
      <c r="G155" s="72"/>
      <c r="I155" s="3" t="s">
        <v>300</v>
      </c>
      <c r="J155" s="3" t="s">
        <v>301</v>
      </c>
      <c r="K155" s="1">
        <v>44.752000000000002</v>
      </c>
      <c r="L155" s="1" t="s">
        <v>304</v>
      </c>
    </row>
    <row r="156" spans="1:27" x14ac:dyDescent="0.15">
      <c r="I156" s="3" t="s">
        <v>302</v>
      </c>
      <c r="J156" s="3" t="s">
        <v>303</v>
      </c>
      <c r="K156" s="1">
        <v>41.865000000000002</v>
      </c>
      <c r="L156" s="1" t="s">
        <v>304</v>
      </c>
    </row>
    <row r="158" spans="1:27" x14ac:dyDescent="0.15">
      <c r="B158" s="72" t="s">
        <v>586</v>
      </c>
      <c r="C158" s="72"/>
      <c r="D158" s="72"/>
      <c r="E158" s="72"/>
      <c r="F158" s="72"/>
      <c r="G158" s="2" t="s">
        <v>581</v>
      </c>
      <c r="H158" s="2" t="s">
        <v>587</v>
      </c>
      <c r="I158" s="1" t="s">
        <v>588</v>
      </c>
    </row>
    <row r="160" spans="1:27" x14ac:dyDescent="0.15">
      <c r="E160" s="73" t="s">
        <v>305</v>
      </c>
      <c r="F160" s="73" t="s">
        <v>301</v>
      </c>
      <c r="G160" s="6" t="s">
        <v>306</v>
      </c>
      <c r="H160" s="73" t="s">
        <v>307</v>
      </c>
      <c r="I160" s="73" t="s">
        <v>308</v>
      </c>
      <c r="J160" s="6" t="s">
        <v>309</v>
      </c>
      <c r="K160" s="6" t="s">
        <v>311</v>
      </c>
      <c r="L160" s="6" t="s">
        <v>310</v>
      </c>
      <c r="M160" s="73" t="s">
        <v>312</v>
      </c>
      <c r="N160" s="24"/>
    </row>
    <row r="161" spans="2:22" x14ac:dyDescent="0.15">
      <c r="E161" s="73"/>
      <c r="F161" s="73"/>
      <c r="G161" s="3">
        <v>4</v>
      </c>
      <c r="H161" s="73"/>
      <c r="I161" s="73"/>
      <c r="J161" s="117">
        <v>2</v>
      </c>
      <c r="K161" s="117"/>
      <c r="L161" s="117"/>
      <c r="M161" s="73"/>
    </row>
    <row r="163" spans="2:22" x14ac:dyDescent="0.15">
      <c r="F163" s="73" t="s">
        <v>301</v>
      </c>
      <c r="G163" s="6" t="s">
        <v>306</v>
      </c>
      <c r="H163" s="73" t="s">
        <v>307</v>
      </c>
      <c r="I163" s="73" t="s">
        <v>308</v>
      </c>
      <c r="J163" s="6">
        <f>K155</f>
        <v>44.752000000000002</v>
      </c>
      <c r="K163" s="6" t="s">
        <v>311</v>
      </c>
      <c r="L163" s="6">
        <f>K156</f>
        <v>41.865000000000002</v>
      </c>
      <c r="M163" s="73" t="s">
        <v>312</v>
      </c>
      <c r="N163" s="24"/>
    </row>
    <row r="164" spans="2:22" x14ac:dyDescent="0.15">
      <c r="F164" s="73"/>
      <c r="G164" s="3">
        <v>4</v>
      </c>
      <c r="H164" s="73"/>
      <c r="I164" s="73"/>
      <c r="J164" s="117">
        <v>2</v>
      </c>
      <c r="K164" s="117"/>
      <c r="L164" s="117"/>
      <c r="M164" s="73"/>
      <c r="Q164" s="71"/>
      <c r="R164" s="71"/>
    </row>
    <row r="166" spans="2:22" x14ac:dyDescent="0.15">
      <c r="F166" s="3" t="s">
        <v>303</v>
      </c>
      <c r="G166" s="127">
        <f>PI()/4*((J163+L163)/J164)^2</f>
        <v>1473.1133509053361</v>
      </c>
      <c r="H166" s="127"/>
      <c r="I166" s="2" t="s">
        <v>20</v>
      </c>
    </row>
    <row r="168" spans="2:22" x14ac:dyDescent="0.15">
      <c r="G168" s="26"/>
    </row>
    <row r="169" spans="2:22" x14ac:dyDescent="0.15">
      <c r="B169" s="1" t="s">
        <v>313</v>
      </c>
    </row>
    <row r="171" spans="2:22" x14ac:dyDescent="0.15">
      <c r="B171" s="162" t="s">
        <v>314</v>
      </c>
      <c r="C171" s="162"/>
      <c r="D171" s="162" t="s">
        <v>316</v>
      </c>
      <c r="E171" s="162"/>
      <c r="F171" s="162" t="s">
        <v>550</v>
      </c>
      <c r="G171" s="162"/>
      <c r="H171" s="162" t="s">
        <v>551</v>
      </c>
      <c r="I171" s="162"/>
      <c r="J171" s="162" t="s">
        <v>317</v>
      </c>
      <c r="K171" s="162"/>
      <c r="L171" s="162" t="s">
        <v>318</v>
      </c>
      <c r="M171" s="162"/>
      <c r="N171" s="162" t="s">
        <v>319</v>
      </c>
      <c r="O171" s="162"/>
    </row>
    <row r="172" spans="2:22" x14ac:dyDescent="0.15">
      <c r="B172" s="162" t="s">
        <v>543</v>
      </c>
      <c r="C172" s="162"/>
      <c r="D172" s="96">
        <v>150</v>
      </c>
      <c r="E172" s="96"/>
      <c r="F172" s="96">
        <v>150</v>
      </c>
      <c r="G172" s="96"/>
      <c r="H172" s="97">
        <f>$T$173-F172</f>
        <v>500</v>
      </c>
      <c r="I172" s="97"/>
      <c r="J172" s="97">
        <f>F172</f>
        <v>150</v>
      </c>
      <c r="K172" s="97"/>
      <c r="L172" s="97">
        <f>D172</f>
        <v>150</v>
      </c>
      <c r="M172" s="97"/>
      <c r="N172" s="97">
        <f>$T$172-D172</f>
        <v>1150</v>
      </c>
      <c r="O172" s="97"/>
      <c r="Q172" s="1" t="s">
        <v>673</v>
      </c>
      <c r="T172" s="72">
        <v>1300</v>
      </c>
      <c r="U172" s="72"/>
      <c r="V172" s="1" t="s">
        <v>675</v>
      </c>
    </row>
    <row r="173" spans="2:22" x14ac:dyDescent="0.15">
      <c r="B173" s="162" t="s">
        <v>544</v>
      </c>
      <c r="C173" s="162"/>
      <c r="D173" s="96">
        <v>150</v>
      </c>
      <c r="E173" s="96"/>
      <c r="F173" s="96">
        <v>500</v>
      </c>
      <c r="G173" s="96"/>
      <c r="H173" s="97">
        <f>$T$173-F173</f>
        <v>150</v>
      </c>
      <c r="I173" s="97"/>
      <c r="J173" s="97">
        <f>F173</f>
        <v>500</v>
      </c>
      <c r="K173" s="97"/>
      <c r="L173" s="97">
        <f>D173</f>
        <v>150</v>
      </c>
      <c r="M173" s="97"/>
      <c r="N173" s="97">
        <f>$T$172-D173</f>
        <v>1150</v>
      </c>
      <c r="O173" s="97"/>
      <c r="Q173" s="1" t="s">
        <v>674</v>
      </c>
      <c r="T173" s="72">
        <v>650</v>
      </c>
      <c r="U173" s="72"/>
      <c r="V173" s="1" t="s">
        <v>676</v>
      </c>
    </row>
    <row r="174" spans="2:22" x14ac:dyDescent="0.15">
      <c r="B174" s="162" t="s">
        <v>545</v>
      </c>
      <c r="C174" s="162"/>
      <c r="D174" s="96">
        <v>400</v>
      </c>
      <c r="E174" s="96"/>
      <c r="F174" s="96">
        <v>150</v>
      </c>
      <c r="G174" s="96"/>
      <c r="H174" s="97">
        <f t="shared" ref="H174:H179" si="3">$T$173-F174</f>
        <v>500</v>
      </c>
      <c r="I174" s="97"/>
      <c r="J174" s="97">
        <f t="shared" ref="J174:J179" si="4">F174</f>
        <v>150</v>
      </c>
      <c r="K174" s="97"/>
      <c r="L174" s="97">
        <f t="shared" ref="L174:L179" si="5">D174</f>
        <v>400</v>
      </c>
      <c r="M174" s="97"/>
      <c r="N174" s="97">
        <f t="shared" ref="N174:N179" si="6">$T$172-D174</f>
        <v>900</v>
      </c>
      <c r="O174" s="97"/>
    </row>
    <row r="175" spans="2:22" x14ac:dyDescent="0.15">
      <c r="B175" s="162" t="s">
        <v>546</v>
      </c>
      <c r="C175" s="162"/>
      <c r="D175" s="96">
        <v>400</v>
      </c>
      <c r="E175" s="96"/>
      <c r="F175" s="96">
        <v>500</v>
      </c>
      <c r="G175" s="96"/>
      <c r="H175" s="97">
        <f t="shared" si="3"/>
        <v>150</v>
      </c>
      <c r="I175" s="97"/>
      <c r="J175" s="97">
        <f t="shared" si="4"/>
        <v>500</v>
      </c>
      <c r="K175" s="97"/>
      <c r="L175" s="97">
        <f t="shared" si="5"/>
        <v>400</v>
      </c>
      <c r="M175" s="97"/>
      <c r="N175" s="97">
        <f t="shared" si="6"/>
        <v>900</v>
      </c>
      <c r="O175" s="97"/>
    </row>
    <row r="176" spans="2:22" x14ac:dyDescent="0.15">
      <c r="B176" s="162" t="s">
        <v>547</v>
      </c>
      <c r="C176" s="162"/>
      <c r="D176" s="96">
        <v>860</v>
      </c>
      <c r="E176" s="96"/>
      <c r="F176" s="96">
        <v>150</v>
      </c>
      <c r="G176" s="96"/>
      <c r="H176" s="97">
        <f t="shared" si="3"/>
        <v>500</v>
      </c>
      <c r="I176" s="97"/>
      <c r="J176" s="97">
        <f t="shared" si="4"/>
        <v>150</v>
      </c>
      <c r="K176" s="97"/>
      <c r="L176" s="97">
        <f t="shared" si="5"/>
        <v>860</v>
      </c>
      <c r="M176" s="97"/>
      <c r="N176" s="97">
        <f t="shared" si="6"/>
        <v>440</v>
      </c>
      <c r="O176" s="97"/>
    </row>
    <row r="177" spans="1:15" x14ac:dyDescent="0.15">
      <c r="B177" s="162" t="s">
        <v>548</v>
      </c>
      <c r="C177" s="162"/>
      <c r="D177" s="96">
        <v>860</v>
      </c>
      <c r="E177" s="96"/>
      <c r="F177" s="96">
        <v>500</v>
      </c>
      <c r="G177" s="96"/>
      <c r="H177" s="97">
        <f t="shared" si="3"/>
        <v>150</v>
      </c>
      <c r="I177" s="97"/>
      <c r="J177" s="97">
        <f t="shared" si="4"/>
        <v>500</v>
      </c>
      <c r="K177" s="97"/>
      <c r="L177" s="97">
        <f t="shared" si="5"/>
        <v>860</v>
      </c>
      <c r="M177" s="97"/>
      <c r="N177" s="97">
        <f t="shared" si="6"/>
        <v>440</v>
      </c>
      <c r="O177" s="97"/>
    </row>
    <row r="178" spans="1:15" x14ac:dyDescent="0.15">
      <c r="B178" s="162" t="s">
        <v>549</v>
      </c>
      <c r="C178" s="162"/>
      <c r="D178" s="96">
        <v>1150</v>
      </c>
      <c r="E178" s="96"/>
      <c r="F178" s="96">
        <v>150</v>
      </c>
      <c r="G178" s="96"/>
      <c r="H178" s="97">
        <f t="shared" si="3"/>
        <v>500</v>
      </c>
      <c r="I178" s="97"/>
      <c r="J178" s="97">
        <f t="shared" si="4"/>
        <v>150</v>
      </c>
      <c r="K178" s="97"/>
      <c r="L178" s="97">
        <f t="shared" si="5"/>
        <v>1150</v>
      </c>
      <c r="M178" s="97"/>
      <c r="N178" s="97">
        <f t="shared" si="6"/>
        <v>150</v>
      </c>
      <c r="O178" s="97"/>
    </row>
    <row r="179" spans="1:15" x14ac:dyDescent="0.15">
      <c r="B179" s="162" t="s">
        <v>320</v>
      </c>
      <c r="C179" s="162"/>
      <c r="D179" s="96">
        <v>1150</v>
      </c>
      <c r="E179" s="96"/>
      <c r="F179" s="96">
        <v>500</v>
      </c>
      <c r="G179" s="96"/>
      <c r="H179" s="97">
        <f t="shared" si="3"/>
        <v>150</v>
      </c>
      <c r="I179" s="97"/>
      <c r="J179" s="97">
        <f t="shared" si="4"/>
        <v>500</v>
      </c>
      <c r="K179" s="97"/>
      <c r="L179" s="97">
        <f t="shared" si="5"/>
        <v>1150</v>
      </c>
      <c r="M179" s="97"/>
      <c r="N179" s="97">
        <f t="shared" si="6"/>
        <v>150</v>
      </c>
      <c r="O179" s="97"/>
    </row>
    <row r="182" spans="1:15" x14ac:dyDescent="0.15">
      <c r="B182" s="27" t="s">
        <v>594</v>
      </c>
      <c r="C182" s="27" t="s">
        <v>595</v>
      </c>
      <c r="D182" s="1" t="s">
        <v>596</v>
      </c>
    </row>
    <row r="183" spans="1:15" x14ac:dyDescent="0.15">
      <c r="B183" s="2" t="s">
        <v>597</v>
      </c>
      <c r="C183" s="2" t="s">
        <v>598</v>
      </c>
      <c r="D183" s="72" t="s">
        <v>599</v>
      </c>
      <c r="E183" s="72"/>
      <c r="F183" s="72"/>
      <c r="G183" s="72"/>
      <c r="H183" s="72"/>
      <c r="I183" s="72"/>
      <c r="J183" s="72"/>
      <c r="K183" s="72"/>
      <c r="L183" s="72"/>
      <c r="M183" s="72"/>
      <c r="N183" s="72"/>
    </row>
    <row r="184" spans="1:15" x14ac:dyDescent="0.15">
      <c r="B184" s="2" t="s">
        <v>600</v>
      </c>
      <c r="C184" s="2" t="s">
        <v>601</v>
      </c>
      <c r="D184" s="72" t="s">
        <v>602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</row>
    <row r="185" spans="1:15" x14ac:dyDescent="0.15">
      <c r="B185" s="2" t="s">
        <v>603</v>
      </c>
      <c r="C185" s="2" t="s">
        <v>598</v>
      </c>
      <c r="D185" s="72" t="s">
        <v>604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</row>
    <row r="186" spans="1:15" x14ac:dyDescent="0.15">
      <c r="B186" s="2" t="s">
        <v>605</v>
      </c>
      <c r="C186" s="2" t="s">
        <v>606</v>
      </c>
      <c r="D186" s="72" t="s">
        <v>607</v>
      </c>
      <c r="E186" s="72"/>
      <c r="F186" s="72"/>
      <c r="G186" s="72"/>
      <c r="H186" s="72"/>
      <c r="I186" s="72"/>
      <c r="K186" s="3">
        <v>8</v>
      </c>
      <c r="L186" s="1" t="s">
        <v>321</v>
      </c>
    </row>
    <row r="190" spans="1:15" x14ac:dyDescent="0.15">
      <c r="A190" s="1" t="s">
        <v>322</v>
      </c>
    </row>
    <row r="191" spans="1:15" x14ac:dyDescent="0.15">
      <c r="B191" s="1" t="s">
        <v>608</v>
      </c>
      <c r="D191" s="1" t="s">
        <v>609</v>
      </c>
    </row>
    <row r="193" spans="2:19" x14ac:dyDescent="0.15">
      <c r="B193" s="1" t="s">
        <v>323</v>
      </c>
      <c r="E193" s="3" t="s">
        <v>324</v>
      </c>
      <c r="F193" s="3" t="s">
        <v>195</v>
      </c>
      <c r="G193" s="129">
        <v>448</v>
      </c>
      <c r="H193" s="129"/>
      <c r="I193" s="1" t="s">
        <v>69</v>
      </c>
      <c r="J193" s="1" t="s">
        <v>325</v>
      </c>
    </row>
    <row r="195" spans="2:19" x14ac:dyDescent="0.15">
      <c r="E195" s="3" t="s">
        <v>326</v>
      </c>
      <c r="F195" s="3" t="s">
        <v>195</v>
      </c>
      <c r="G195" s="73" t="s">
        <v>327</v>
      </c>
      <c r="H195" s="73"/>
      <c r="I195" s="3" t="s">
        <v>111</v>
      </c>
      <c r="J195" s="3" t="s">
        <v>329</v>
      </c>
    </row>
    <row r="196" spans="2:19" x14ac:dyDescent="0.15">
      <c r="E196" s="3"/>
      <c r="F196" s="3" t="s">
        <v>195</v>
      </c>
      <c r="G196" s="109">
        <f>MAX(S78,S86)*1000</f>
        <v>737236.83986009262</v>
      </c>
      <c r="H196" s="109"/>
      <c r="I196" s="109"/>
      <c r="J196" s="3" t="s">
        <v>315</v>
      </c>
      <c r="K196" s="73">
        <f>G193</f>
        <v>448</v>
      </c>
      <c r="L196" s="73"/>
    </row>
    <row r="197" spans="2:19" x14ac:dyDescent="0.15">
      <c r="E197" s="3"/>
      <c r="F197" s="3" t="s">
        <v>195</v>
      </c>
      <c r="G197" s="127">
        <f>G196*K196</f>
        <v>330282104.25732148</v>
      </c>
      <c r="H197" s="127"/>
      <c r="I197" s="127"/>
      <c r="J197" s="127"/>
      <c r="K197" s="73" t="s">
        <v>330</v>
      </c>
      <c r="L197" s="73"/>
    </row>
    <row r="199" spans="2:19" x14ac:dyDescent="0.15">
      <c r="E199" s="3" t="s">
        <v>66</v>
      </c>
      <c r="F199" s="3" t="s">
        <v>195</v>
      </c>
      <c r="G199" s="73" t="s">
        <v>328</v>
      </c>
      <c r="H199" s="73"/>
      <c r="I199" s="3" t="s">
        <v>111</v>
      </c>
      <c r="J199" s="3" t="s">
        <v>187</v>
      </c>
      <c r="K199" s="3" t="s">
        <v>189</v>
      </c>
      <c r="L199" s="3" t="s">
        <v>296</v>
      </c>
      <c r="M199" s="3" t="s">
        <v>47</v>
      </c>
      <c r="N199" s="3" t="s">
        <v>152</v>
      </c>
      <c r="O199" s="1">
        <v>2</v>
      </c>
      <c r="P199" s="3" t="s">
        <v>188</v>
      </c>
    </row>
    <row r="200" spans="2:19" x14ac:dyDescent="0.15">
      <c r="F200" s="3" t="s">
        <v>195</v>
      </c>
      <c r="G200" s="109">
        <f>MAX(S78,S86)*1000</f>
        <v>737236.83986009262</v>
      </c>
      <c r="H200" s="109"/>
      <c r="I200" s="109"/>
      <c r="J200" s="3" t="s">
        <v>111</v>
      </c>
      <c r="K200" s="3" t="s">
        <v>187</v>
      </c>
      <c r="L200" s="84">
        <v>650</v>
      </c>
      <c r="M200" s="84"/>
      <c r="N200" s="3" t="s">
        <v>296</v>
      </c>
      <c r="O200" s="84">
        <v>1300</v>
      </c>
      <c r="P200" s="84"/>
      <c r="Q200" s="3" t="s">
        <v>152</v>
      </c>
      <c r="R200" s="26">
        <v>2</v>
      </c>
      <c r="S200" s="3" t="s">
        <v>188</v>
      </c>
    </row>
    <row r="201" spans="2:19" x14ac:dyDescent="0.15">
      <c r="F201" s="3" t="s">
        <v>195</v>
      </c>
      <c r="G201" s="1">
        <f>G200*(L200-O200/R200)</f>
        <v>0</v>
      </c>
      <c r="H201" s="73" t="s">
        <v>330</v>
      </c>
      <c r="I201" s="73"/>
    </row>
    <row r="203" spans="2:19" x14ac:dyDescent="0.15">
      <c r="E203" s="3" t="s">
        <v>331</v>
      </c>
      <c r="F203" s="3" t="s">
        <v>303</v>
      </c>
      <c r="G203" s="73" t="s">
        <v>328</v>
      </c>
      <c r="H203" s="73"/>
    </row>
    <row r="204" spans="2:19" x14ac:dyDescent="0.15">
      <c r="F204" s="3" t="s">
        <v>303</v>
      </c>
      <c r="G204" s="127">
        <f>S78*1000</f>
        <v>737236.83986009262</v>
      </c>
      <c r="H204" s="127"/>
      <c r="I204" s="127"/>
      <c r="J204" s="1" t="s">
        <v>331</v>
      </c>
    </row>
    <row r="207" spans="2:19" x14ac:dyDescent="0.15">
      <c r="B207" s="1" t="s">
        <v>610</v>
      </c>
      <c r="D207" s="1" t="s">
        <v>612</v>
      </c>
    </row>
    <row r="209" spans="3:3" x14ac:dyDescent="0.15">
      <c r="C209" s="1" t="s">
        <v>332</v>
      </c>
    </row>
    <row r="227" spans="2:22" x14ac:dyDescent="0.15">
      <c r="B227" s="188" t="s">
        <v>681</v>
      </c>
      <c r="C227" s="188"/>
      <c r="D227" s="188"/>
      <c r="E227" s="188"/>
      <c r="F227" s="188"/>
      <c r="G227" s="188"/>
    </row>
    <row r="229" spans="2:22" x14ac:dyDescent="0.15">
      <c r="B229" s="1" t="s">
        <v>333</v>
      </c>
      <c r="F229" s="3" t="s">
        <v>334</v>
      </c>
      <c r="G229" s="3" t="s">
        <v>303</v>
      </c>
      <c r="H229" s="133">
        <f>J138</f>
        <v>147.19999999999999</v>
      </c>
      <c r="I229" s="133"/>
      <c r="J229" s="1" t="s">
        <v>304</v>
      </c>
    </row>
    <row r="230" spans="2:22" x14ac:dyDescent="0.15">
      <c r="E230" s="3"/>
      <c r="F230" s="3"/>
    </row>
    <row r="231" spans="2:22" x14ac:dyDescent="0.15">
      <c r="B231" s="1" t="s">
        <v>626</v>
      </c>
      <c r="E231" s="3"/>
      <c r="F231" s="3"/>
    </row>
    <row r="232" spans="2:22" x14ac:dyDescent="0.15">
      <c r="B232" s="1" t="s">
        <v>628</v>
      </c>
      <c r="E232" s="3"/>
      <c r="F232" s="3"/>
      <c r="K232" s="73" t="s">
        <v>335</v>
      </c>
      <c r="L232" s="73"/>
      <c r="M232" s="73"/>
      <c r="N232" s="73"/>
      <c r="O232" s="73" t="s">
        <v>336</v>
      </c>
      <c r="P232" s="73"/>
      <c r="Q232" s="3" t="s">
        <v>303</v>
      </c>
      <c r="R232" s="23">
        <v>27</v>
      </c>
      <c r="S232" s="73" t="s">
        <v>337</v>
      </c>
      <c r="T232" s="73"/>
    </row>
    <row r="233" spans="2:22" x14ac:dyDescent="0.15">
      <c r="E233" s="3"/>
      <c r="F233" s="3"/>
    </row>
    <row r="234" spans="2:22" x14ac:dyDescent="0.15">
      <c r="C234" s="73" t="s">
        <v>338</v>
      </c>
      <c r="D234" s="73"/>
      <c r="E234" s="3" t="s">
        <v>311</v>
      </c>
      <c r="F234" s="73" t="s">
        <v>339</v>
      </c>
      <c r="G234" s="73"/>
      <c r="H234" s="3" t="s">
        <v>303</v>
      </c>
      <c r="I234" s="10">
        <v>6.1</v>
      </c>
      <c r="J234" s="3" t="s">
        <v>340</v>
      </c>
      <c r="K234" s="26">
        <v>0</v>
      </c>
    </row>
    <row r="235" spans="2:22" x14ac:dyDescent="0.15">
      <c r="H235" s="3" t="s">
        <v>303</v>
      </c>
      <c r="I235" s="73">
        <f>I234+K234</f>
        <v>6.1</v>
      </c>
      <c r="J235" s="73"/>
      <c r="K235" s="73" t="s">
        <v>337</v>
      </c>
      <c r="L235" s="73"/>
      <c r="M235" s="3" t="s">
        <v>341</v>
      </c>
      <c r="N235" s="73" t="s">
        <v>342</v>
      </c>
      <c r="O235" s="73"/>
      <c r="P235" s="3" t="s">
        <v>303</v>
      </c>
      <c r="Q235" s="72">
        <f>$J$140</f>
        <v>13.5</v>
      </c>
      <c r="R235" s="72"/>
      <c r="S235" s="73" t="s">
        <v>572</v>
      </c>
      <c r="T235" s="73"/>
      <c r="U235" s="3"/>
      <c r="V235" s="2" t="str">
        <f>IF(I235&lt;Q235,"OK","NG")</f>
        <v>OK</v>
      </c>
    </row>
    <row r="236" spans="2:22" x14ac:dyDescent="0.15">
      <c r="H236" s="3"/>
      <c r="I236" s="3"/>
      <c r="J236" s="3"/>
      <c r="K236" s="3"/>
      <c r="L236" s="3"/>
      <c r="M236" s="3"/>
      <c r="N236" s="3"/>
      <c r="O236" s="3"/>
      <c r="P236" s="3"/>
      <c r="R236" s="3"/>
      <c r="S236" s="3"/>
      <c r="T236" s="3"/>
      <c r="U236" s="3"/>
      <c r="V236" s="2"/>
    </row>
    <row r="237" spans="2:22" x14ac:dyDescent="0.15">
      <c r="B237" s="1" t="s">
        <v>343</v>
      </c>
    </row>
    <row r="239" spans="2:22" x14ac:dyDescent="0.15">
      <c r="E239" s="3" t="s">
        <v>344</v>
      </c>
      <c r="F239" s="3" t="s">
        <v>311</v>
      </c>
      <c r="G239" s="3" t="s">
        <v>345</v>
      </c>
      <c r="H239" s="3" t="s">
        <v>303</v>
      </c>
      <c r="I239" s="73">
        <v>244.5</v>
      </c>
      <c r="J239" s="73"/>
      <c r="K239" s="3" t="s">
        <v>340</v>
      </c>
      <c r="L239" s="26">
        <v>0</v>
      </c>
    </row>
    <row r="240" spans="2:22" x14ac:dyDescent="0.15">
      <c r="H240" s="3" t="s">
        <v>303</v>
      </c>
      <c r="I240" s="73">
        <f>I239+L239</f>
        <v>244.5</v>
      </c>
      <c r="J240" s="73"/>
      <c r="K240" s="73" t="s">
        <v>337</v>
      </c>
      <c r="L240" s="73"/>
      <c r="M240" s="1" t="s">
        <v>341</v>
      </c>
      <c r="N240" s="73" t="s">
        <v>346</v>
      </c>
      <c r="O240" s="73"/>
      <c r="P240" s="3" t="s">
        <v>303</v>
      </c>
      <c r="Q240" s="73">
        <f>$J$147</f>
        <v>345</v>
      </c>
      <c r="R240" s="73"/>
      <c r="S240" s="73" t="s">
        <v>337</v>
      </c>
      <c r="T240" s="73"/>
      <c r="V240" s="2" t="str">
        <f>IF(I240&lt;Q240,"OK","NG")</f>
        <v>OK</v>
      </c>
    </row>
    <row r="244" spans="1:18" x14ac:dyDescent="0.15">
      <c r="A244" s="1" t="s">
        <v>629</v>
      </c>
      <c r="B244" s="1" t="s">
        <v>630</v>
      </c>
      <c r="H244" s="2" t="s">
        <v>582</v>
      </c>
      <c r="I244" s="1" t="s">
        <v>644</v>
      </c>
    </row>
    <row r="245" spans="1:18" x14ac:dyDescent="0.15">
      <c r="B245" s="1" t="s">
        <v>631</v>
      </c>
      <c r="D245" s="1" t="s">
        <v>632</v>
      </c>
    </row>
    <row r="247" spans="1:18" x14ac:dyDescent="0.15">
      <c r="B247" s="1" t="s">
        <v>323</v>
      </c>
      <c r="E247" s="3" t="s">
        <v>324</v>
      </c>
      <c r="F247" s="3" t="s">
        <v>195</v>
      </c>
      <c r="G247" s="73">
        <f>G193</f>
        <v>448</v>
      </c>
      <c r="H247" s="73"/>
      <c r="I247" s="1" t="s">
        <v>69</v>
      </c>
      <c r="J247" s="1" t="s">
        <v>347</v>
      </c>
    </row>
    <row r="248" spans="1:18" x14ac:dyDescent="0.15">
      <c r="E248" s="3" t="s">
        <v>326</v>
      </c>
      <c r="F248" s="3" t="s">
        <v>195</v>
      </c>
      <c r="G248" s="28" t="s">
        <v>348</v>
      </c>
      <c r="I248" s="3" t="s">
        <v>111</v>
      </c>
      <c r="J248" s="3" t="s">
        <v>329</v>
      </c>
    </row>
    <row r="249" spans="1:18" x14ac:dyDescent="0.15">
      <c r="E249" s="3"/>
      <c r="F249" s="3" t="s">
        <v>195</v>
      </c>
      <c r="G249" s="109">
        <f>-MAX(S78,S86)*1000</f>
        <v>-737236.83986009262</v>
      </c>
      <c r="H249" s="109"/>
      <c r="I249" s="109"/>
      <c r="J249" s="3" t="s">
        <v>315</v>
      </c>
      <c r="K249" s="73">
        <f>G247</f>
        <v>448</v>
      </c>
      <c r="L249" s="73"/>
    </row>
    <row r="250" spans="1:18" x14ac:dyDescent="0.15">
      <c r="E250" s="3"/>
      <c r="F250" s="3" t="s">
        <v>195</v>
      </c>
      <c r="G250" s="127">
        <f>G249*K249</f>
        <v>-330282104.25732148</v>
      </c>
      <c r="H250" s="127"/>
      <c r="I250" s="127"/>
      <c r="J250" s="127"/>
      <c r="K250" s="73" t="s">
        <v>330</v>
      </c>
      <c r="L250" s="73"/>
    </row>
    <row r="252" spans="1:18" x14ac:dyDescent="0.15">
      <c r="E252" s="3" t="s">
        <v>66</v>
      </c>
      <c r="F252" s="3" t="s">
        <v>195</v>
      </c>
      <c r="G252" s="28" t="s">
        <v>348</v>
      </c>
      <c r="I252" s="3" t="s">
        <v>111</v>
      </c>
      <c r="J252" s="3" t="s">
        <v>187</v>
      </c>
      <c r="K252" s="3" t="s">
        <v>189</v>
      </c>
      <c r="L252" s="3" t="s">
        <v>296</v>
      </c>
      <c r="M252" s="3" t="s">
        <v>47</v>
      </c>
      <c r="N252" s="3" t="s">
        <v>152</v>
      </c>
      <c r="O252" s="1">
        <v>2</v>
      </c>
      <c r="P252" s="3" t="s">
        <v>188</v>
      </c>
    </row>
    <row r="253" spans="1:18" x14ac:dyDescent="0.15">
      <c r="F253" s="3" t="s">
        <v>195</v>
      </c>
      <c r="G253" s="84">
        <f>-MAX(S78,S86)</f>
        <v>-737.23683986009257</v>
      </c>
      <c r="H253" s="84"/>
      <c r="I253" s="3" t="s">
        <v>111</v>
      </c>
      <c r="J253" s="3" t="s">
        <v>9</v>
      </c>
      <c r="K253" s="84">
        <v>650</v>
      </c>
      <c r="L253" s="84"/>
      <c r="M253" s="3" t="s">
        <v>296</v>
      </c>
      <c r="N253" s="84">
        <v>1300</v>
      </c>
      <c r="O253" s="84"/>
      <c r="P253" s="3" t="s">
        <v>152</v>
      </c>
      <c r="Q253" s="26">
        <v>2</v>
      </c>
      <c r="R253" s="3" t="s">
        <v>188</v>
      </c>
    </row>
    <row r="254" spans="1:18" x14ac:dyDescent="0.15">
      <c r="F254" s="3" t="s">
        <v>195</v>
      </c>
      <c r="G254" s="1">
        <f>G253*(K253-N253/Q253)</f>
        <v>0</v>
      </c>
      <c r="H254" s="73" t="s">
        <v>330</v>
      </c>
      <c r="I254" s="73"/>
    </row>
    <row r="256" spans="1:18" x14ac:dyDescent="0.15">
      <c r="E256" s="3" t="s">
        <v>331</v>
      </c>
      <c r="F256" s="3" t="s">
        <v>303</v>
      </c>
      <c r="G256" s="28" t="s">
        <v>348</v>
      </c>
    </row>
    <row r="257" spans="2:10" x14ac:dyDescent="0.15">
      <c r="F257" s="3" t="s">
        <v>303</v>
      </c>
      <c r="G257" s="127">
        <f>S78*1000</f>
        <v>737236.83986009262</v>
      </c>
      <c r="H257" s="127"/>
      <c r="I257" s="127"/>
      <c r="J257" s="1" t="s">
        <v>331</v>
      </c>
    </row>
    <row r="259" spans="2:10" x14ac:dyDescent="0.15">
      <c r="B259" s="1" t="s">
        <v>633</v>
      </c>
      <c r="D259" s="1" t="s">
        <v>611</v>
      </c>
    </row>
    <row r="261" spans="2:10" x14ac:dyDescent="0.15">
      <c r="D261" s="1" t="s">
        <v>332</v>
      </c>
    </row>
    <row r="278" spans="3:21" x14ac:dyDescent="0.15">
      <c r="D278" s="29" t="s">
        <v>681</v>
      </c>
      <c r="E278" s="29"/>
      <c r="F278" s="29"/>
      <c r="G278" s="29"/>
      <c r="H278" s="29"/>
      <c r="I278" s="29"/>
    </row>
    <row r="280" spans="3:21" x14ac:dyDescent="0.15">
      <c r="D280" s="1" t="s">
        <v>333</v>
      </c>
      <c r="I280" s="3" t="s">
        <v>334</v>
      </c>
      <c r="J280" s="3" t="s">
        <v>303</v>
      </c>
      <c r="K280" s="133">
        <f>P138</f>
        <v>269.5</v>
      </c>
      <c r="L280" s="133"/>
      <c r="M280" s="1" t="s">
        <v>304</v>
      </c>
    </row>
    <row r="282" spans="3:21" x14ac:dyDescent="0.15">
      <c r="D282" s="1" t="s">
        <v>634</v>
      </c>
      <c r="E282" s="3"/>
      <c r="F282" s="3"/>
    </row>
    <row r="283" spans="3:21" x14ac:dyDescent="0.15">
      <c r="D283" s="1" t="s">
        <v>627</v>
      </c>
      <c r="E283" s="3"/>
      <c r="F283" s="3"/>
      <c r="K283" s="1" t="s">
        <v>335</v>
      </c>
      <c r="L283" s="3"/>
      <c r="M283" s="3"/>
      <c r="P283" s="73" t="s">
        <v>336</v>
      </c>
      <c r="Q283" s="73"/>
      <c r="R283" s="3" t="s">
        <v>303</v>
      </c>
      <c r="S283" s="23">
        <v>27</v>
      </c>
      <c r="T283" s="1" t="s">
        <v>337</v>
      </c>
    </row>
    <row r="284" spans="3:21" x14ac:dyDescent="0.15">
      <c r="E284" s="3"/>
      <c r="F284" s="3"/>
    </row>
    <row r="285" spans="3:21" x14ac:dyDescent="0.15">
      <c r="C285" s="73" t="s">
        <v>338</v>
      </c>
      <c r="D285" s="73"/>
      <c r="E285" s="3" t="s">
        <v>311</v>
      </c>
      <c r="F285" s="73" t="s">
        <v>339</v>
      </c>
      <c r="G285" s="73"/>
      <c r="H285" s="3" t="s">
        <v>303</v>
      </c>
      <c r="I285" s="10">
        <v>7.4</v>
      </c>
      <c r="J285" s="3" t="s">
        <v>340</v>
      </c>
      <c r="K285" s="26">
        <v>0</v>
      </c>
    </row>
    <row r="286" spans="3:21" x14ac:dyDescent="0.15">
      <c r="H286" s="3" t="s">
        <v>303</v>
      </c>
      <c r="I286" s="73">
        <f>I285+K285</f>
        <v>7.4</v>
      </c>
      <c r="J286" s="73"/>
      <c r="K286" s="73" t="s">
        <v>337</v>
      </c>
      <c r="L286" s="73"/>
      <c r="M286" s="3" t="s">
        <v>341</v>
      </c>
      <c r="N286" s="73" t="s">
        <v>342</v>
      </c>
      <c r="O286" s="73"/>
      <c r="P286" s="3" t="s">
        <v>303</v>
      </c>
      <c r="Q286" s="72">
        <f>$J$140</f>
        <v>13.5</v>
      </c>
      <c r="R286" s="72"/>
      <c r="S286" s="73" t="s">
        <v>337</v>
      </c>
      <c r="T286" s="73"/>
      <c r="U286" s="2" t="str">
        <f>IF(I286&lt;Q286,"OK","NG")</f>
        <v>OK</v>
      </c>
    </row>
    <row r="288" spans="3:21" x14ac:dyDescent="0.15">
      <c r="D288" s="1" t="s">
        <v>343</v>
      </c>
    </row>
    <row r="290" spans="1:21" x14ac:dyDescent="0.15">
      <c r="E290" s="3" t="s">
        <v>344</v>
      </c>
      <c r="F290" s="3" t="s">
        <v>311</v>
      </c>
      <c r="G290" s="3" t="s">
        <v>345</v>
      </c>
      <c r="H290" s="3" t="s">
        <v>303</v>
      </c>
      <c r="I290" s="57">
        <v>82.6</v>
      </c>
      <c r="J290" s="3" t="s">
        <v>340</v>
      </c>
      <c r="K290" s="26">
        <v>0</v>
      </c>
    </row>
    <row r="291" spans="1:21" x14ac:dyDescent="0.15">
      <c r="H291" s="3" t="s">
        <v>303</v>
      </c>
      <c r="I291" s="207">
        <f>I290+K290</f>
        <v>82.6</v>
      </c>
      <c r="J291" s="73"/>
      <c r="K291" s="73" t="s">
        <v>337</v>
      </c>
      <c r="L291" s="73"/>
      <c r="M291" s="3" t="s">
        <v>341</v>
      </c>
      <c r="N291" s="73" t="s">
        <v>346</v>
      </c>
      <c r="O291" s="73"/>
      <c r="P291" s="3" t="s">
        <v>303</v>
      </c>
      <c r="Q291" s="73">
        <f>$J$147</f>
        <v>345</v>
      </c>
      <c r="R291" s="73"/>
      <c r="S291" s="1" t="s">
        <v>337</v>
      </c>
      <c r="U291" s="2" t="str">
        <f>IF(I291&lt;Q291,"OK","NG")</f>
        <v>OK</v>
      </c>
    </row>
    <row r="295" spans="1:21" x14ac:dyDescent="0.15">
      <c r="A295" s="1" t="s">
        <v>635</v>
      </c>
      <c r="B295" s="1" t="s">
        <v>636</v>
      </c>
    </row>
    <row r="296" spans="1:21" x14ac:dyDescent="0.15">
      <c r="B296" s="1" t="s">
        <v>637</v>
      </c>
      <c r="D296" s="1" t="s">
        <v>638</v>
      </c>
    </row>
    <row r="298" spans="1:21" x14ac:dyDescent="0.15">
      <c r="E298" s="3" t="s">
        <v>349</v>
      </c>
      <c r="F298" s="3" t="s">
        <v>195</v>
      </c>
      <c r="G298" s="73" t="s">
        <v>350</v>
      </c>
      <c r="H298" s="73"/>
    </row>
    <row r="299" spans="1:21" x14ac:dyDescent="0.15">
      <c r="F299" s="3" t="s">
        <v>195</v>
      </c>
      <c r="G299" s="109">
        <f>S89*1000</f>
        <v>360426.89948715636</v>
      </c>
      <c r="H299" s="109"/>
      <c r="I299" s="109"/>
      <c r="J299" s="1" t="s">
        <v>677</v>
      </c>
    </row>
    <row r="301" spans="1:21" x14ac:dyDescent="0.15">
      <c r="E301" s="73" t="s">
        <v>351</v>
      </c>
      <c r="F301" s="73" t="s">
        <v>195</v>
      </c>
      <c r="G301" s="75" t="s">
        <v>352</v>
      </c>
      <c r="H301" s="75"/>
      <c r="I301" s="75"/>
    </row>
    <row r="302" spans="1:21" x14ac:dyDescent="0.15">
      <c r="E302" s="73"/>
      <c r="F302" s="73"/>
      <c r="G302" s="3" t="s">
        <v>355</v>
      </c>
      <c r="H302" s="3" t="s">
        <v>353</v>
      </c>
      <c r="I302" s="3" t="s">
        <v>354</v>
      </c>
    </row>
    <row r="304" spans="1:21" x14ac:dyDescent="0.15">
      <c r="F304" s="73" t="s">
        <v>195</v>
      </c>
      <c r="G304" s="171">
        <f>G299</f>
        <v>360426.89948715636</v>
      </c>
      <c r="H304" s="171"/>
      <c r="I304" s="171"/>
      <c r="J304" s="171"/>
    </row>
    <row r="305" spans="2:22" x14ac:dyDescent="0.15">
      <c r="F305" s="73"/>
      <c r="G305" s="3">
        <f>K186</f>
        <v>8</v>
      </c>
      <c r="H305" s="3" t="s">
        <v>353</v>
      </c>
      <c r="I305" s="132">
        <f>G166</f>
        <v>1473.1133509053361</v>
      </c>
      <c r="J305" s="132"/>
    </row>
    <row r="307" spans="2:22" x14ac:dyDescent="0.15">
      <c r="F307" s="3" t="s">
        <v>195</v>
      </c>
      <c r="G307" s="109">
        <f>G304/(G305*I305)</f>
        <v>30.583771716009466</v>
      </c>
      <c r="H307" s="109"/>
      <c r="I307" s="73" t="s">
        <v>35</v>
      </c>
      <c r="J307" s="73"/>
      <c r="K307" s="3" t="s">
        <v>356</v>
      </c>
      <c r="M307" s="3" t="s">
        <v>357</v>
      </c>
      <c r="P307" s="3" t="s">
        <v>195</v>
      </c>
      <c r="Q307" s="73">
        <f>195.5</f>
        <v>195.5</v>
      </c>
      <c r="R307" s="73"/>
      <c r="S307" s="73" t="s">
        <v>35</v>
      </c>
      <c r="T307" s="73"/>
      <c r="V307" s="2" t="str">
        <f>IF(G307&lt;Q307,"OK","NG")</f>
        <v>OK</v>
      </c>
    </row>
    <row r="309" spans="2:22" x14ac:dyDescent="0.15">
      <c r="B309" s="1" t="s">
        <v>639</v>
      </c>
      <c r="D309" s="1" t="s">
        <v>640</v>
      </c>
    </row>
    <row r="327" spans="4:9" x14ac:dyDescent="0.15">
      <c r="D327" s="1" t="s">
        <v>358</v>
      </c>
    </row>
    <row r="329" spans="4:9" x14ac:dyDescent="0.15">
      <c r="E329" s="1" t="s">
        <v>359</v>
      </c>
      <c r="F329" s="3" t="s">
        <v>195</v>
      </c>
      <c r="G329" s="84">
        <f>SUM(D172:E179)</f>
        <v>5120</v>
      </c>
      <c r="H329" s="84"/>
      <c r="I329" s="1" t="s">
        <v>360</v>
      </c>
    </row>
    <row r="330" spans="4:9" x14ac:dyDescent="0.15">
      <c r="E330" s="1" t="s">
        <v>361</v>
      </c>
      <c r="F330" s="3" t="s">
        <v>195</v>
      </c>
      <c r="G330" s="84">
        <f>SUM(F172:G179)</f>
        <v>2600</v>
      </c>
      <c r="H330" s="84"/>
      <c r="I330" s="1" t="s">
        <v>360</v>
      </c>
    </row>
    <row r="333" spans="4:9" x14ac:dyDescent="0.15">
      <c r="D333" s="1" t="s">
        <v>362</v>
      </c>
    </row>
    <row r="335" spans="4:9" x14ac:dyDescent="0.15">
      <c r="D335" s="1" t="s">
        <v>363</v>
      </c>
    </row>
    <row r="336" spans="4:9" x14ac:dyDescent="0.15">
      <c r="E336" s="73" t="s">
        <v>365</v>
      </c>
      <c r="F336" s="73" t="s">
        <v>195</v>
      </c>
      <c r="G336" s="75">
        <f>G329</f>
        <v>5120</v>
      </c>
      <c r="H336" s="75"/>
    </row>
    <row r="337" spans="1:21" x14ac:dyDescent="0.15">
      <c r="E337" s="73"/>
      <c r="F337" s="73"/>
      <c r="G337" s="117">
        <f>K186</f>
        <v>8</v>
      </c>
      <c r="H337" s="117"/>
    </row>
    <row r="338" spans="1:21" x14ac:dyDescent="0.15">
      <c r="E338" s="3"/>
      <c r="F338" s="3"/>
      <c r="G338" s="3"/>
    </row>
    <row r="339" spans="1:21" x14ac:dyDescent="0.15">
      <c r="E339" s="3"/>
      <c r="F339" s="3" t="s">
        <v>195</v>
      </c>
      <c r="G339" s="84">
        <f>G336/G337</f>
        <v>640</v>
      </c>
      <c r="H339" s="84"/>
      <c r="I339" s="1" t="s">
        <v>360</v>
      </c>
    </row>
    <row r="340" spans="1:21" x14ac:dyDescent="0.15">
      <c r="E340" s="3"/>
      <c r="F340" s="3"/>
      <c r="G340" s="3"/>
    </row>
    <row r="341" spans="1:21" x14ac:dyDescent="0.15">
      <c r="D341" s="1" t="s">
        <v>364</v>
      </c>
    </row>
    <row r="342" spans="1:21" x14ac:dyDescent="0.15">
      <c r="E342" s="73" t="s">
        <v>366</v>
      </c>
      <c r="F342" s="73" t="s">
        <v>195</v>
      </c>
      <c r="G342" s="75">
        <f>G330</f>
        <v>2600</v>
      </c>
      <c r="H342" s="75"/>
    </row>
    <row r="343" spans="1:21" x14ac:dyDescent="0.15">
      <c r="E343" s="73"/>
      <c r="F343" s="73"/>
      <c r="G343" s="117">
        <f>K186</f>
        <v>8</v>
      </c>
      <c r="H343" s="117"/>
    </row>
    <row r="345" spans="1:21" x14ac:dyDescent="0.15">
      <c r="F345" s="3" t="s">
        <v>195</v>
      </c>
      <c r="G345" s="84">
        <f>G342/G343</f>
        <v>325</v>
      </c>
      <c r="H345" s="84"/>
      <c r="I345" s="1" t="s">
        <v>360</v>
      </c>
    </row>
    <row r="349" spans="1:21" x14ac:dyDescent="0.15">
      <c r="A349" s="1" t="s">
        <v>367</v>
      </c>
    </row>
    <row r="352" spans="1:21" x14ac:dyDescent="0.15">
      <c r="B352" s="1" t="s">
        <v>368</v>
      </c>
      <c r="D352" s="3"/>
      <c r="E352" s="1" t="s">
        <v>369</v>
      </c>
      <c r="F352" s="3" t="s">
        <v>370</v>
      </c>
      <c r="G352" s="129">
        <v>448</v>
      </c>
      <c r="H352" s="129"/>
      <c r="I352" s="3" t="s">
        <v>371</v>
      </c>
      <c r="J352" s="72" t="s">
        <v>372</v>
      </c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</row>
    <row r="354" spans="1:27" x14ac:dyDescent="0.15">
      <c r="E354" s="1" t="s">
        <v>373</v>
      </c>
      <c r="F354" s="3" t="s">
        <v>370</v>
      </c>
      <c r="G354" s="73" t="s">
        <v>374</v>
      </c>
      <c r="H354" s="73"/>
      <c r="I354" s="3" t="s">
        <v>111</v>
      </c>
      <c r="J354" s="3" t="s">
        <v>375</v>
      </c>
    </row>
    <row r="355" spans="1:27" x14ac:dyDescent="0.15">
      <c r="F355" s="3" t="s">
        <v>370</v>
      </c>
      <c r="G355" s="109">
        <f>MAX(S81,S89)*1000</f>
        <v>516218.7927159415</v>
      </c>
      <c r="H355" s="109"/>
      <c r="I355" s="109"/>
      <c r="J355" s="3" t="s">
        <v>111</v>
      </c>
      <c r="K355" s="73">
        <f>G352</f>
        <v>448</v>
      </c>
      <c r="L355" s="73"/>
    </row>
    <row r="356" spans="1:27" x14ac:dyDescent="0.15">
      <c r="F356" s="3" t="s">
        <v>370</v>
      </c>
      <c r="G356" s="127">
        <f>G355*K355</f>
        <v>231266019.13674179</v>
      </c>
      <c r="H356" s="127"/>
      <c r="I356" s="127"/>
      <c r="J356" s="127"/>
      <c r="K356" s="73" t="s">
        <v>330</v>
      </c>
      <c r="L356" s="73"/>
    </row>
    <row r="357" spans="1:27" x14ac:dyDescent="0.15">
      <c r="G357" s="30"/>
    </row>
    <row r="358" spans="1:27" x14ac:dyDescent="0.15">
      <c r="A358" s="162" t="s">
        <v>314</v>
      </c>
      <c r="B358" s="162"/>
      <c r="C358" s="162" t="s">
        <v>564</v>
      </c>
      <c r="D358" s="162"/>
      <c r="E358" s="162" t="s">
        <v>560</v>
      </c>
      <c r="F358" s="162"/>
      <c r="G358" s="162" t="s">
        <v>561</v>
      </c>
      <c r="H358" s="162"/>
      <c r="I358" s="163" t="s">
        <v>562</v>
      </c>
      <c r="J358" s="117"/>
      <c r="K358" s="164"/>
      <c r="L358" s="163" t="s">
        <v>563</v>
      </c>
      <c r="M358" s="117"/>
      <c r="N358" s="164"/>
      <c r="O358" s="163" t="s">
        <v>376</v>
      </c>
      <c r="P358" s="117"/>
      <c r="Q358" s="164"/>
      <c r="R358" s="101" t="s">
        <v>566</v>
      </c>
      <c r="S358" s="162"/>
      <c r="T358" s="146" t="s">
        <v>565</v>
      </c>
      <c r="U358" s="97"/>
      <c r="V358" s="146" t="s">
        <v>567</v>
      </c>
      <c r="W358" s="97"/>
      <c r="X358" s="146" t="s">
        <v>568</v>
      </c>
      <c r="Y358" s="97"/>
      <c r="Z358" s="97" t="s">
        <v>377</v>
      </c>
      <c r="AA358" s="97"/>
    </row>
    <row r="359" spans="1:27" x14ac:dyDescent="0.15">
      <c r="A359" s="162"/>
      <c r="B359" s="162"/>
      <c r="C359" s="162"/>
      <c r="D359" s="162"/>
      <c r="E359" s="162"/>
      <c r="F359" s="162"/>
      <c r="G359" s="162"/>
      <c r="H359" s="162"/>
      <c r="I359" s="169"/>
      <c r="J359" s="75"/>
      <c r="K359" s="170"/>
      <c r="L359" s="165"/>
      <c r="M359" s="166"/>
      <c r="N359" s="167"/>
      <c r="O359" s="169"/>
      <c r="P359" s="75"/>
      <c r="Q359" s="170"/>
      <c r="R359" s="162"/>
      <c r="S359" s="162"/>
      <c r="T359" s="97"/>
      <c r="U359" s="97"/>
      <c r="V359" s="97"/>
      <c r="W359" s="97"/>
      <c r="X359" s="97"/>
      <c r="Y359" s="97"/>
      <c r="Z359" s="97"/>
      <c r="AA359" s="97"/>
    </row>
    <row r="360" spans="1:27" x14ac:dyDescent="0.15">
      <c r="A360" s="162" t="s">
        <v>552</v>
      </c>
      <c r="B360" s="162"/>
      <c r="C360" s="97">
        <f>D172-$G$339</f>
        <v>-490</v>
      </c>
      <c r="D360" s="97"/>
      <c r="E360" s="97">
        <f t="shared" ref="E360:E367" si="7">$G$345-F172</f>
        <v>175</v>
      </c>
      <c r="F360" s="97"/>
      <c r="G360" s="172">
        <f>(($G$339-D172)^2+($G$345-F172)^2)^0.5</f>
        <v>520.31240615614774</v>
      </c>
      <c r="H360" s="172"/>
      <c r="I360" s="189">
        <f t="shared" ref="I360:I367" si="8">G360^2</f>
        <v>270725.00000000006</v>
      </c>
      <c r="J360" s="190"/>
      <c r="K360" s="191"/>
      <c r="L360" s="168">
        <f t="shared" ref="L360:L367" si="9">$G$356*C360/$I$368</f>
        <v>-77755.145723208101</v>
      </c>
      <c r="M360" s="168"/>
      <c r="N360" s="168"/>
      <c r="O360" s="168">
        <f t="shared" ref="O360:O367" si="10">$G$356*E360/$I$368</f>
        <v>27769.694901145747</v>
      </c>
      <c r="P360" s="168"/>
      <c r="Q360" s="168"/>
      <c r="R360" s="93">
        <f>ABS(L360/$G$166)</f>
        <v>52.782866759996345</v>
      </c>
      <c r="S360" s="93"/>
      <c r="T360" s="93">
        <f>ABS(O360/$G$166)</f>
        <v>18.851023842855835</v>
      </c>
      <c r="U360" s="93"/>
      <c r="V360" s="93">
        <f>(R360^2+(T360+$G$307)^2)^0.5</f>
        <v>72.317563809563822</v>
      </c>
      <c r="W360" s="93"/>
      <c r="X360" s="134">
        <v>195.5</v>
      </c>
      <c r="Y360" s="134"/>
      <c r="Z360" s="134" t="str">
        <f>IF(X360&gt;V360,"OK","NG")</f>
        <v>OK</v>
      </c>
      <c r="AA360" s="134"/>
    </row>
    <row r="361" spans="1:27" x14ac:dyDescent="0.15">
      <c r="A361" s="162" t="s">
        <v>553</v>
      </c>
      <c r="B361" s="162"/>
      <c r="C361" s="97">
        <f t="shared" ref="C361:C366" si="11">D173-$G$339</f>
        <v>-490</v>
      </c>
      <c r="D361" s="97"/>
      <c r="E361" s="97">
        <f t="shared" si="7"/>
        <v>-175</v>
      </c>
      <c r="F361" s="97"/>
      <c r="G361" s="172">
        <f t="shared" ref="G361:G367" si="12">(($G$339-D173)^2+($G$345-F173)^2)^0.5</f>
        <v>520.31240615614774</v>
      </c>
      <c r="H361" s="172"/>
      <c r="I361" s="189">
        <f t="shared" si="8"/>
        <v>270725.00000000006</v>
      </c>
      <c r="J361" s="190"/>
      <c r="K361" s="191"/>
      <c r="L361" s="168">
        <f t="shared" si="9"/>
        <v>-77755.145723208101</v>
      </c>
      <c r="M361" s="168"/>
      <c r="N361" s="168"/>
      <c r="O361" s="168">
        <f t="shared" si="10"/>
        <v>-27769.694901145747</v>
      </c>
      <c r="P361" s="168"/>
      <c r="Q361" s="168"/>
      <c r="R361" s="93">
        <f t="shared" ref="R361:R367" si="13">ABS(L361/$G$166)</f>
        <v>52.782866759996345</v>
      </c>
      <c r="S361" s="93"/>
      <c r="T361" s="93">
        <f t="shared" ref="T361:T367" si="14">ABS(O361/$G$166)</f>
        <v>18.851023842855835</v>
      </c>
      <c r="U361" s="93"/>
      <c r="V361" s="93">
        <f>(R361^2+(T361+$G$307)^2)^0.5</f>
        <v>72.317563809563822</v>
      </c>
      <c r="W361" s="93"/>
      <c r="X361" s="134">
        <v>195.5</v>
      </c>
      <c r="Y361" s="134"/>
      <c r="Z361" s="134" t="str">
        <f t="shared" ref="Z361:Z367" si="15">IF(X361&gt;V361,"OK","NG")</f>
        <v>OK</v>
      </c>
      <c r="AA361" s="134"/>
    </row>
    <row r="362" spans="1:27" x14ac:dyDescent="0.15">
      <c r="A362" s="162" t="s">
        <v>554</v>
      </c>
      <c r="B362" s="162"/>
      <c r="C362" s="97">
        <f t="shared" si="11"/>
        <v>-240</v>
      </c>
      <c r="D362" s="97"/>
      <c r="E362" s="97">
        <f t="shared" si="7"/>
        <v>175</v>
      </c>
      <c r="F362" s="97"/>
      <c r="G362" s="172">
        <f t="shared" si="12"/>
        <v>297.02693480558293</v>
      </c>
      <c r="H362" s="172"/>
      <c r="I362" s="189">
        <f t="shared" si="8"/>
        <v>88225.000000000015</v>
      </c>
      <c r="J362" s="190"/>
      <c r="K362" s="191"/>
      <c r="L362" s="168">
        <f t="shared" si="9"/>
        <v>-38084.153007285597</v>
      </c>
      <c r="M362" s="168"/>
      <c r="N362" s="168"/>
      <c r="O362" s="168">
        <f t="shared" si="10"/>
        <v>27769.694901145747</v>
      </c>
      <c r="P362" s="168"/>
      <c r="Q362" s="168"/>
      <c r="R362" s="93">
        <f t="shared" si="13"/>
        <v>25.852832698773717</v>
      </c>
      <c r="S362" s="93"/>
      <c r="T362" s="93">
        <f>ABS(O362/$G$166)</f>
        <v>18.851023842855835</v>
      </c>
      <c r="U362" s="93"/>
      <c r="V362" s="93">
        <f t="shared" ref="V362:V367" si="16">(R362^2+(T362+$G$307)^2)^0.5</f>
        <v>55.786808212135533</v>
      </c>
      <c r="W362" s="93"/>
      <c r="X362" s="134">
        <v>195.5</v>
      </c>
      <c r="Y362" s="134"/>
      <c r="Z362" s="134" t="str">
        <f t="shared" si="15"/>
        <v>OK</v>
      </c>
      <c r="AA362" s="134"/>
    </row>
    <row r="363" spans="1:27" x14ac:dyDescent="0.15">
      <c r="A363" s="162" t="s">
        <v>555</v>
      </c>
      <c r="B363" s="162"/>
      <c r="C363" s="97">
        <f t="shared" si="11"/>
        <v>-240</v>
      </c>
      <c r="D363" s="97"/>
      <c r="E363" s="97">
        <f t="shared" si="7"/>
        <v>-175</v>
      </c>
      <c r="F363" s="97"/>
      <c r="G363" s="172">
        <f t="shared" si="12"/>
        <v>297.02693480558293</v>
      </c>
      <c r="H363" s="172"/>
      <c r="I363" s="189">
        <f t="shared" si="8"/>
        <v>88225.000000000015</v>
      </c>
      <c r="J363" s="190"/>
      <c r="K363" s="191"/>
      <c r="L363" s="168">
        <f t="shared" si="9"/>
        <v>-38084.153007285597</v>
      </c>
      <c r="M363" s="168"/>
      <c r="N363" s="168"/>
      <c r="O363" s="168">
        <f t="shared" si="10"/>
        <v>-27769.694901145747</v>
      </c>
      <c r="P363" s="168"/>
      <c r="Q363" s="168"/>
      <c r="R363" s="93">
        <f t="shared" si="13"/>
        <v>25.852832698773717</v>
      </c>
      <c r="S363" s="93"/>
      <c r="T363" s="93">
        <f t="shared" si="14"/>
        <v>18.851023842855835</v>
      </c>
      <c r="U363" s="93"/>
      <c r="V363" s="93">
        <f t="shared" si="16"/>
        <v>55.786808212135533</v>
      </c>
      <c r="W363" s="93"/>
      <c r="X363" s="134">
        <v>195.5</v>
      </c>
      <c r="Y363" s="134"/>
      <c r="Z363" s="134" t="str">
        <f t="shared" si="15"/>
        <v>OK</v>
      </c>
      <c r="AA363" s="134"/>
    </row>
    <row r="364" spans="1:27" x14ac:dyDescent="0.15">
      <c r="A364" s="162" t="s">
        <v>556</v>
      </c>
      <c r="B364" s="162"/>
      <c r="C364" s="97">
        <f t="shared" si="11"/>
        <v>220</v>
      </c>
      <c r="D364" s="97"/>
      <c r="E364" s="97">
        <f t="shared" si="7"/>
        <v>175</v>
      </c>
      <c r="F364" s="97"/>
      <c r="G364" s="172">
        <f t="shared" si="12"/>
        <v>281.11385593741193</v>
      </c>
      <c r="H364" s="172"/>
      <c r="I364" s="189">
        <f t="shared" si="8"/>
        <v>79024.999999999985</v>
      </c>
      <c r="J364" s="190"/>
      <c r="K364" s="191"/>
      <c r="L364" s="168">
        <f t="shared" si="9"/>
        <v>34910.473590011796</v>
      </c>
      <c r="M364" s="168"/>
      <c r="N364" s="168"/>
      <c r="O364" s="168">
        <f t="shared" si="10"/>
        <v>27769.694901145747</v>
      </c>
      <c r="P364" s="168"/>
      <c r="Q364" s="168"/>
      <c r="R364" s="93">
        <f t="shared" si="13"/>
        <v>23.698429973875907</v>
      </c>
      <c r="S364" s="93"/>
      <c r="T364" s="93">
        <f t="shared" si="14"/>
        <v>18.851023842855835</v>
      </c>
      <c r="U364" s="93"/>
      <c r="V364" s="93">
        <f t="shared" si="16"/>
        <v>54.821661733055016</v>
      </c>
      <c r="W364" s="93"/>
      <c r="X364" s="134">
        <v>195.5</v>
      </c>
      <c r="Y364" s="134"/>
      <c r="Z364" s="134" t="str">
        <f t="shared" si="15"/>
        <v>OK</v>
      </c>
      <c r="AA364" s="134"/>
    </row>
    <row r="365" spans="1:27" x14ac:dyDescent="0.15">
      <c r="A365" s="162" t="s">
        <v>557</v>
      </c>
      <c r="B365" s="162"/>
      <c r="C365" s="97">
        <f t="shared" si="11"/>
        <v>220</v>
      </c>
      <c r="D365" s="97"/>
      <c r="E365" s="97">
        <f t="shared" si="7"/>
        <v>-175</v>
      </c>
      <c r="F365" s="97"/>
      <c r="G365" s="172">
        <f t="shared" si="12"/>
        <v>281.11385593741193</v>
      </c>
      <c r="H365" s="172"/>
      <c r="I365" s="189">
        <f t="shared" si="8"/>
        <v>79024.999999999985</v>
      </c>
      <c r="J365" s="190"/>
      <c r="K365" s="191"/>
      <c r="L365" s="168">
        <f t="shared" si="9"/>
        <v>34910.473590011796</v>
      </c>
      <c r="M365" s="168"/>
      <c r="N365" s="168"/>
      <c r="O365" s="168">
        <f t="shared" si="10"/>
        <v>-27769.694901145747</v>
      </c>
      <c r="P365" s="168"/>
      <c r="Q365" s="168"/>
      <c r="R365" s="93">
        <f t="shared" si="13"/>
        <v>23.698429973875907</v>
      </c>
      <c r="S365" s="93"/>
      <c r="T365" s="93">
        <f t="shared" si="14"/>
        <v>18.851023842855835</v>
      </c>
      <c r="U365" s="93"/>
      <c r="V365" s="93">
        <f t="shared" si="16"/>
        <v>54.821661733055016</v>
      </c>
      <c r="W365" s="93"/>
      <c r="X365" s="134">
        <v>195.5</v>
      </c>
      <c r="Y365" s="134"/>
      <c r="Z365" s="134" t="str">
        <f t="shared" si="15"/>
        <v>OK</v>
      </c>
      <c r="AA365" s="134"/>
    </row>
    <row r="366" spans="1:27" x14ac:dyDescent="0.15">
      <c r="A366" s="162" t="s">
        <v>558</v>
      </c>
      <c r="B366" s="162"/>
      <c r="C366" s="97">
        <f t="shared" si="11"/>
        <v>510</v>
      </c>
      <c r="D366" s="97"/>
      <c r="E366" s="97">
        <f t="shared" si="7"/>
        <v>175</v>
      </c>
      <c r="F366" s="97"/>
      <c r="G366" s="172">
        <f t="shared" si="12"/>
        <v>539.1892061234164</v>
      </c>
      <c r="H366" s="172"/>
      <c r="I366" s="189">
        <f t="shared" si="8"/>
        <v>290725</v>
      </c>
      <c r="J366" s="190"/>
      <c r="K366" s="191"/>
      <c r="L366" s="168">
        <f t="shared" si="9"/>
        <v>80928.825140481888</v>
      </c>
      <c r="M366" s="168"/>
      <c r="N366" s="168"/>
      <c r="O366" s="168">
        <f t="shared" si="10"/>
        <v>27769.694901145747</v>
      </c>
      <c r="P366" s="168"/>
      <c r="Q366" s="168"/>
      <c r="R366" s="93">
        <f t="shared" si="13"/>
        <v>54.937269484894145</v>
      </c>
      <c r="S366" s="93"/>
      <c r="T366" s="93">
        <f t="shared" si="14"/>
        <v>18.851023842855835</v>
      </c>
      <c r="U366" s="93"/>
      <c r="V366" s="93">
        <f t="shared" si="16"/>
        <v>73.904685848751768</v>
      </c>
      <c r="W366" s="93"/>
      <c r="X366" s="134">
        <v>195.5</v>
      </c>
      <c r="Y366" s="134"/>
      <c r="Z366" s="134" t="str">
        <f t="shared" si="15"/>
        <v>OK</v>
      </c>
      <c r="AA366" s="134"/>
    </row>
    <row r="367" spans="1:27" x14ac:dyDescent="0.15">
      <c r="A367" s="162" t="s">
        <v>559</v>
      </c>
      <c r="B367" s="162"/>
      <c r="C367" s="97">
        <f>D179-$G$339</f>
        <v>510</v>
      </c>
      <c r="D367" s="97"/>
      <c r="E367" s="97">
        <f t="shared" si="7"/>
        <v>-175</v>
      </c>
      <c r="F367" s="97"/>
      <c r="G367" s="172">
        <f t="shared" si="12"/>
        <v>539.1892061234164</v>
      </c>
      <c r="H367" s="172"/>
      <c r="I367" s="189">
        <f t="shared" si="8"/>
        <v>290725</v>
      </c>
      <c r="J367" s="190"/>
      <c r="K367" s="191"/>
      <c r="L367" s="168">
        <f t="shared" si="9"/>
        <v>80928.825140481888</v>
      </c>
      <c r="M367" s="168"/>
      <c r="N367" s="168"/>
      <c r="O367" s="168">
        <f t="shared" si="10"/>
        <v>-27769.694901145747</v>
      </c>
      <c r="P367" s="168"/>
      <c r="Q367" s="168"/>
      <c r="R367" s="93">
        <f t="shared" si="13"/>
        <v>54.937269484894145</v>
      </c>
      <c r="S367" s="93"/>
      <c r="T367" s="93">
        <f t="shared" si="14"/>
        <v>18.851023842855835</v>
      </c>
      <c r="U367" s="93"/>
      <c r="V367" s="93">
        <f t="shared" si="16"/>
        <v>73.904685848751768</v>
      </c>
      <c r="W367" s="93"/>
      <c r="X367" s="134">
        <v>195.5</v>
      </c>
      <c r="Y367" s="134"/>
      <c r="Z367" s="134" t="str">
        <f t="shared" si="15"/>
        <v>OK</v>
      </c>
      <c r="AA367" s="134"/>
    </row>
    <row r="368" spans="1:27" x14ac:dyDescent="0.15">
      <c r="A368" s="162" t="s">
        <v>378</v>
      </c>
      <c r="B368" s="162"/>
      <c r="C368" s="162"/>
      <c r="D368" s="162"/>
      <c r="E368" s="162"/>
      <c r="F368" s="162"/>
      <c r="G368" s="162"/>
      <c r="H368" s="162"/>
      <c r="I368" s="135">
        <f>SUM(I360:I367)</f>
        <v>1457400</v>
      </c>
      <c r="J368" s="136"/>
      <c r="K368" s="137"/>
      <c r="L368" s="86"/>
      <c r="M368" s="86"/>
      <c r="N368" s="86"/>
      <c r="O368" s="135"/>
      <c r="P368" s="136"/>
      <c r="Q368" s="137"/>
      <c r="R368" s="93"/>
      <c r="S368" s="93"/>
      <c r="T368" s="93"/>
      <c r="U368" s="93"/>
      <c r="V368" s="93"/>
      <c r="W368" s="93"/>
      <c r="X368" s="134"/>
      <c r="Y368" s="134"/>
      <c r="Z368" s="134"/>
      <c r="AA368" s="134"/>
    </row>
    <row r="369" spans="1:27" x14ac:dyDescent="0.15">
      <c r="A369" s="169" t="s">
        <v>379</v>
      </c>
      <c r="B369" s="75"/>
      <c r="C369" s="75"/>
      <c r="D369" s="75"/>
      <c r="E369" s="75"/>
      <c r="F369" s="75"/>
      <c r="G369" s="75"/>
      <c r="H369" s="170"/>
      <c r="I369" s="135"/>
      <c r="J369" s="136"/>
      <c r="K369" s="137"/>
      <c r="L369" s="135"/>
      <c r="M369" s="136"/>
      <c r="N369" s="137"/>
      <c r="O369" s="135"/>
      <c r="P369" s="136"/>
      <c r="Q369" s="137"/>
      <c r="R369" s="93"/>
      <c r="S369" s="93"/>
      <c r="T369" s="93"/>
      <c r="U369" s="93"/>
      <c r="V369" s="93">
        <f>MAX(V360:W368)</f>
        <v>73.904685848751768</v>
      </c>
      <c r="W369" s="93"/>
      <c r="X369" s="134"/>
      <c r="Y369" s="134"/>
      <c r="Z369" s="134"/>
      <c r="AA369" s="134"/>
    </row>
    <row r="372" spans="1:27" x14ac:dyDescent="0.15">
      <c r="E372" s="2" t="s">
        <v>381</v>
      </c>
      <c r="F372" s="2" t="s">
        <v>382</v>
      </c>
      <c r="G372" s="2" t="s">
        <v>383</v>
      </c>
      <c r="H372" s="2" t="s">
        <v>385</v>
      </c>
      <c r="I372" s="2" t="s">
        <v>384</v>
      </c>
    </row>
    <row r="374" spans="1:27" x14ac:dyDescent="0.15">
      <c r="E374" s="2" t="s">
        <v>386</v>
      </c>
      <c r="F374" s="2" t="s">
        <v>382</v>
      </c>
      <c r="G374" s="2" t="s">
        <v>387</v>
      </c>
      <c r="H374" s="2" t="s">
        <v>385</v>
      </c>
      <c r="I374" s="2" t="s">
        <v>388</v>
      </c>
    </row>
    <row r="376" spans="1:27" x14ac:dyDescent="0.15">
      <c r="E376" s="73" t="s">
        <v>389</v>
      </c>
      <c r="F376" s="73" t="s">
        <v>382</v>
      </c>
      <c r="G376" s="6" t="s">
        <v>390</v>
      </c>
      <c r="H376" s="6" t="s">
        <v>353</v>
      </c>
      <c r="I376" s="6" t="s">
        <v>391</v>
      </c>
    </row>
    <row r="377" spans="1:27" x14ac:dyDescent="0.15">
      <c r="E377" s="73"/>
      <c r="F377" s="73"/>
      <c r="H377" s="31" t="s">
        <v>392</v>
      </c>
      <c r="I377" s="32"/>
      <c r="K377" s="1" t="s">
        <v>393</v>
      </c>
    </row>
    <row r="379" spans="1:27" x14ac:dyDescent="0.15">
      <c r="B379" s="1" t="s">
        <v>394</v>
      </c>
    </row>
    <row r="381" spans="1:27" x14ac:dyDescent="0.15">
      <c r="E381" s="73" t="s">
        <v>395</v>
      </c>
      <c r="F381" s="73" t="s">
        <v>382</v>
      </c>
      <c r="G381" s="6" t="s">
        <v>389</v>
      </c>
      <c r="H381" s="73" t="s">
        <v>356</v>
      </c>
      <c r="I381" s="73" t="s">
        <v>397</v>
      </c>
      <c r="J381" s="73" t="s">
        <v>382</v>
      </c>
      <c r="K381" s="73">
        <f>Q307</f>
        <v>195.5</v>
      </c>
      <c r="L381" s="73"/>
      <c r="M381" s="73" t="s">
        <v>410</v>
      </c>
      <c r="N381" s="73"/>
    </row>
    <row r="382" spans="1:27" x14ac:dyDescent="0.15">
      <c r="E382" s="73"/>
      <c r="F382" s="73"/>
      <c r="G382" s="2" t="s">
        <v>396</v>
      </c>
      <c r="H382" s="73"/>
      <c r="I382" s="73"/>
      <c r="J382" s="73"/>
      <c r="K382" s="73"/>
      <c r="L382" s="73"/>
      <c r="M382" s="73"/>
      <c r="N382" s="73"/>
    </row>
    <row r="384" spans="1:27" x14ac:dyDescent="0.15">
      <c r="B384" s="1" t="s">
        <v>399</v>
      </c>
    </row>
    <row r="386" spans="2:24" x14ac:dyDescent="0.15">
      <c r="E386" s="2" t="s">
        <v>400</v>
      </c>
      <c r="F386" s="2" t="s">
        <v>382</v>
      </c>
      <c r="G386" s="1" t="s">
        <v>407</v>
      </c>
      <c r="H386" s="72" t="s">
        <v>689</v>
      </c>
      <c r="I386" s="72"/>
      <c r="J386" s="2" t="s">
        <v>401</v>
      </c>
      <c r="K386" s="2" t="s">
        <v>402</v>
      </c>
      <c r="L386" s="2" t="s">
        <v>403</v>
      </c>
      <c r="M386" s="2" t="s">
        <v>401</v>
      </c>
      <c r="N386" s="2" t="s">
        <v>404</v>
      </c>
      <c r="O386" s="2" t="s">
        <v>406</v>
      </c>
      <c r="Q386" s="2" t="s">
        <v>408</v>
      </c>
      <c r="S386" s="2" t="s">
        <v>357</v>
      </c>
      <c r="T386" s="2" t="s">
        <v>409</v>
      </c>
      <c r="U386" s="73">
        <f>$Q$307</f>
        <v>195.5</v>
      </c>
      <c r="V386" s="73"/>
      <c r="W386" s="73" t="s">
        <v>398</v>
      </c>
      <c r="X386" s="73"/>
    </row>
    <row r="390" spans="2:24" x14ac:dyDescent="0.15">
      <c r="B390" s="1" t="s">
        <v>641</v>
      </c>
      <c r="D390" s="72" t="s">
        <v>642</v>
      </c>
      <c r="E390" s="72"/>
      <c r="F390" s="72"/>
      <c r="G390" s="72"/>
      <c r="H390" s="72"/>
      <c r="I390" s="72"/>
      <c r="J390" s="72"/>
      <c r="K390" s="72"/>
      <c r="L390" s="72"/>
      <c r="M390" s="2" t="s">
        <v>582</v>
      </c>
      <c r="N390" s="1" t="s">
        <v>643</v>
      </c>
    </row>
    <row r="392" spans="2:24" x14ac:dyDescent="0.15">
      <c r="B392" s="1" t="s">
        <v>411</v>
      </c>
    </row>
    <row r="394" spans="2:24" x14ac:dyDescent="0.15">
      <c r="B394" s="1" t="s">
        <v>412</v>
      </c>
      <c r="E394" s="3" t="s">
        <v>413</v>
      </c>
      <c r="F394" s="3" t="s">
        <v>382</v>
      </c>
      <c r="G394" s="129">
        <v>600</v>
      </c>
      <c r="H394" s="129"/>
      <c r="I394" s="1" t="s">
        <v>414</v>
      </c>
      <c r="J394" s="1" t="s">
        <v>415</v>
      </c>
    </row>
    <row r="396" spans="2:24" x14ac:dyDescent="0.15">
      <c r="E396" s="3" t="s">
        <v>416</v>
      </c>
      <c r="F396" s="3" t="s">
        <v>382</v>
      </c>
      <c r="G396" s="73" t="s">
        <v>417</v>
      </c>
      <c r="H396" s="73"/>
      <c r="I396" s="3" t="s">
        <v>418</v>
      </c>
      <c r="J396" s="3" t="s">
        <v>419</v>
      </c>
    </row>
    <row r="397" spans="2:24" x14ac:dyDescent="0.15">
      <c r="F397" s="3" t="s">
        <v>382</v>
      </c>
      <c r="G397" s="128">
        <f>$G$299</f>
        <v>360426.89948715636</v>
      </c>
      <c r="H397" s="128"/>
      <c r="I397" s="128"/>
      <c r="J397" s="3" t="s">
        <v>418</v>
      </c>
      <c r="K397" s="73">
        <f>G394</f>
        <v>600</v>
      </c>
      <c r="L397" s="73"/>
    </row>
    <row r="398" spans="2:24" x14ac:dyDescent="0.15">
      <c r="F398" s="3" t="s">
        <v>382</v>
      </c>
      <c r="G398" s="127">
        <f>G397*K397</f>
        <v>216256139.69229382</v>
      </c>
      <c r="H398" s="127"/>
      <c r="I398" s="127"/>
      <c r="J398" s="127"/>
      <c r="K398" s="73" t="s">
        <v>420</v>
      </c>
      <c r="L398" s="73"/>
    </row>
    <row r="400" spans="2:24" x14ac:dyDescent="0.15">
      <c r="B400" s="1" t="s">
        <v>421</v>
      </c>
    </row>
    <row r="402" spans="4:4" x14ac:dyDescent="0.15">
      <c r="D402" s="1" t="s">
        <v>422</v>
      </c>
    </row>
    <row r="420" spans="4:20" x14ac:dyDescent="0.15">
      <c r="D420" s="29" t="s">
        <v>681</v>
      </c>
      <c r="E420" s="29"/>
      <c r="F420" s="29"/>
      <c r="G420" s="29"/>
      <c r="H420" s="29"/>
      <c r="I420" s="29"/>
    </row>
    <row r="422" spans="4:20" x14ac:dyDescent="0.15">
      <c r="D422" s="1" t="s">
        <v>288</v>
      </c>
      <c r="I422" s="3" t="s">
        <v>334</v>
      </c>
      <c r="J422" s="3" t="s">
        <v>195</v>
      </c>
      <c r="K422" s="133">
        <f>V138</f>
        <v>404.3</v>
      </c>
      <c r="L422" s="133"/>
      <c r="M422" s="1" t="s">
        <v>1</v>
      </c>
    </row>
    <row r="423" spans="4:20" x14ac:dyDescent="0.15">
      <c r="E423" s="3"/>
      <c r="F423" s="3"/>
    </row>
    <row r="424" spans="4:20" x14ac:dyDescent="0.15">
      <c r="D424" s="1" t="s">
        <v>626</v>
      </c>
      <c r="E424" s="3"/>
      <c r="F424" s="3"/>
    </row>
    <row r="425" spans="4:20" x14ac:dyDescent="0.15">
      <c r="D425" s="1" t="s">
        <v>645</v>
      </c>
      <c r="E425" s="3"/>
      <c r="F425" s="3"/>
      <c r="K425" s="1" t="s">
        <v>646</v>
      </c>
      <c r="P425" s="73" t="s">
        <v>336</v>
      </c>
      <c r="Q425" s="73"/>
      <c r="R425" s="3" t="s">
        <v>195</v>
      </c>
      <c r="S425" s="23">
        <v>27</v>
      </c>
      <c r="T425" s="1" t="s">
        <v>35</v>
      </c>
    </row>
    <row r="427" spans="4:20" x14ac:dyDescent="0.15">
      <c r="D427" s="73" t="s">
        <v>423</v>
      </c>
      <c r="E427" s="73"/>
      <c r="F427" s="3" t="s">
        <v>195</v>
      </c>
      <c r="G427" s="73">
        <v>2.2000000000000002</v>
      </c>
      <c r="H427" s="73"/>
      <c r="I427" s="73" t="s">
        <v>35</v>
      </c>
      <c r="J427" s="73"/>
      <c r="K427" s="1" t="s">
        <v>341</v>
      </c>
      <c r="L427" s="73" t="s">
        <v>342</v>
      </c>
      <c r="M427" s="73"/>
      <c r="N427" s="3" t="s">
        <v>195</v>
      </c>
      <c r="O427" s="72">
        <f>$J$140</f>
        <v>13.5</v>
      </c>
      <c r="P427" s="72"/>
      <c r="Q427" s="73" t="s">
        <v>35</v>
      </c>
      <c r="R427" s="73"/>
      <c r="T427" s="3" t="str">
        <f>IF(G427&lt;O427,"OK","NG")</f>
        <v>OK</v>
      </c>
    </row>
    <row r="429" spans="4:20" x14ac:dyDescent="0.15">
      <c r="D429" s="1" t="s">
        <v>343</v>
      </c>
    </row>
    <row r="431" spans="4:20" x14ac:dyDescent="0.15">
      <c r="E431" s="3" t="s">
        <v>424</v>
      </c>
      <c r="F431" s="3" t="s">
        <v>195</v>
      </c>
      <c r="G431" s="73">
        <v>61.4</v>
      </c>
      <c r="H431" s="73"/>
      <c r="I431" s="73" t="s">
        <v>35</v>
      </c>
      <c r="J431" s="73"/>
      <c r="K431" s="1" t="s">
        <v>341</v>
      </c>
      <c r="L431" s="73" t="s">
        <v>37</v>
      </c>
      <c r="M431" s="73"/>
      <c r="N431" s="3" t="s">
        <v>195</v>
      </c>
      <c r="O431" s="73">
        <f>$J$147</f>
        <v>345</v>
      </c>
      <c r="P431" s="73"/>
      <c r="Q431" s="73" t="s">
        <v>35</v>
      </c>
      <c r="R431" s="73"/>
      <c r="T431" s="3" t="str">
        <f>IF(G431&lt;O431,"OK","NG")</f>
        <v>OK</v>
      </c>
    </row>
    <row r="433" spans="1:20" x14ac:dyDescent="0.15">
      <c r="B433" s="1" t="s">
        <v>425</v>
      </c>
    </row>
    <row r="435" spans="1:20" x14ac:dyDescent="0.15">
      <c r="E435" s="73" t="s">
        <v>426</v>
      </c>
      <c r="F435" s="73" t="s">
        <v>382</v>
      </c>
      <c r="G435" s="73" t="s">
        <v>427</v>
      </c>
      <c r="H435" s="6" t="s">
        <v>428</v>
      </c>
      <c r="I435" s="73" t="s">
        <v>430</v>
      </c>
      <c r="J435" s="73" t="s">
        <v>401</v>
      </c>
      <c r="K435" s="73" t="s">
        <v>432</v>
      </c>
      <c r="L435" s="33" t="s">
        <v>431</v>
      </c>
      <c r="M435" s="33"/>
      <c r="N435" s="73" t="s">
        <v>405</v>
      </c>
    </row>
    <row r="436" spans="1:20" x14ac:dyDescent="0.15">
      <c r="E436" s="73"/>
      <c r="F436" s="73"/>
      <c r="G436" s="73"/>
      <c r="H436" s="3" t="s">
        <v>429</v>
      </c>
      <c r="I436" s="73"/>
      <c r="J436" s="73"/>
      <c r="K436" s="73"/>
      <c r="L436" s="73" t="s">
        <v>357</v>
      </c>
      <c r="M436" s="73"/>
      <c r="N436" s="73"/>
    </row>
    <row r="438" spans="1:20" x14ac:dyDescent="0.15">
      <c r="F438" s="73" t="s">
        <v>382</v>
      </c>
      <c r="G438" s="73" t="s">
        <v>427</v>
      </c>
      <c r="H438" s="75">
        <f>G431</f>
        <v>61.4</v>
      </c>
      <c r="I438" s="75"/>
      <c r="J438" s="73" t="s">
        <v>430</v>
      </c>
      <c r="K438" s="73" t="s">
        <v>401</v>
      </c>
      <c r="L438" s="73" t="s">
        <v>432</v>
      </c>
      <c r="M438" s="75">
        <v>71</v>
      </c>
      <c r="N438" s="75"/>
      <c r="O438" s="73" t="s">
        <v>405</v>
      </c>
    </row>
    <row r="439" spans="1:20" x14ac:dyDescent="0.15">
      <c r="F439" s="73"/>
      <c r="G439" s="73"/>
      <c r="H439" s="73">
        <f>$J$147</f>
        <v>345</v>
      </c>
      <c r="I439" s="73"/>
      <c r="J439" s="73"/>
      <c r="K439" s="73"/>
      <c r="L439" s="73"/>
      <c r="M439" s="73">
        <f>$Q$307</f>
        <v>195.5</v>
      </c>
      <c r="N439" s="73"/>
      <c r="O439" s="73"/>
    </row>
    <row r="441" spans="1:20" x14ac:dyDescent="0.15">
      <c r="F441" s="3" t="s">
        <v>382</v>
      </c>
      <c r="G441" s="72">
        <f>ROUNDUP((H438/H439)^2+(M438/M439)^2,2)</f>
        <v>0.17</v>
      </c>
      <c r="H441" s="72"/>
      <c r="I441" s="3" t="s">
        <v>433</v>
      </c>
      <c r="K441" s="72">
        <v>1.2</v>
      </c>
      <c r="L441" s="72"/>
      <c r="T441" s="3" t="str">
        <f>IF(G441&lt;K441,"OK","NG")</f>
        <v>OK</v>
      </c>
    </row>
    <row r="445" spans="1:20" x14ac:dyDescent="0.15">
      <c r="A445" s="1" t="s">
        <v>647</v>
      </c>
      <c r="C445" s="1" t="s">
        <v>648</v>
      </c>
    </row>
    <row r="447" spans="1:20" x14ac:dyDescent="0.15">
      <c r="B447" s="1" t="s">
        <v>649</v>
      </c>
      <c r="C447" s="1" t="s">
        <v>650</v>
      </c>
    </row>
    <row r="449" spans="2:24" x14ac:dyDescent="0.15">
      <c r="B449" s="1" t="s">
        <v>412</v>
      </c>
      <c r="E449" s="3" t="s">
        <v>413</v>
      </c>
      <c r="F449" s="3" t="s">
        <v>382</v>
      </c>
      <c r="G449" s="129">
        <v>600</v>
      </c>
      <c r="H449" s="129"/>
      <c r="I449" s="1" t="s">
        <v>414</v>
      </c>
      <c r="J449" s="161" t="s">
        <v>415</v>
      </c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1"/>
    </row>
    <row r="451" spans="2:24" x14ac:dyDescent="0.15">
      <c r="E451" s="3" t="s">
        <v>416</v>
      </c>
      <c r="F451" s="3" t="s">
        <v>382</v>
      </c>
      <c r="G451" s="73" t="s">
        <v>417</v>
      </c>
      <c r="H451" s="73"/>
      <c r="I451" s="3" t="s">
        <v>418</v>
      </c>
      <c r="J451" s="3" t="s">
        <v>419</v>
      </c>
    </row>
    <row r="452" spans="2:24" x14ac:dyDescent="0.15">
      <c r="F452" s="3" t="s">
        <v>382</v>
      </c>
      <c r="G452" s="128">
        <f>$G$299</f>
        <v>360426.89948715636</v>
      </c>
      <c r="H452" s="128"/>
      <c r="I452" s="128"/>
      <c r="J452" s="3" t="s">
        <v>418</v>
      </c>
      <c r="K452" s="73">
        <f>G449</f>
        <v>600</v>
      </c>
      <c r="L452" s="73"/>
    </row>
    <row r="453" spans="2:24" x14ac:dyDescent="0.15">
      <c r="F453" s="3" t="s">
        <v>382</v>
      </c>
      <c r="G453" s="127">
        <f>G452*K452</f>
        <v>216256139.69229382</v>
      </c>
      <c r="H453" s="127"/>
      <c r="I453" s="127"/>
      <c r="J453" s="127"/>
      <c r="K453" s="73" t="s">
        <v>420</v>
      </c>
      <c r="L453" s="73"/>
    </row>
    <row r="455" spans="2:24" x14ac:dyDescent="0.15">
      <c r="B455" s="1" t="s">
        <v>421</v>
      </c>
    </row>
    <row r="457" spans="2:24" x14ac:dyDescent="0.15">
      <c r="D457" s="1" t="s">
        <v>422</v>
      </c>
    </row>
    <row r="479" spans="4:9" x14ac:dyDescent="0.15">
      <c r="D479" s="29" t="s">
        <v>681</v>
      </c>
      <c r="E479" s="29"/>
      <c r="F479" s="29"/>
      <c r="G479" s="29"/>
      <c r="H479" s="29"/>
      <c r="I479" s="29"/>
    </row>
    <row r="481" spans="2:20" x14ac:dyDescent="0.15">
      <c r="D481" s="1" t="s">
        <v>288</v>
      </c>
      <c r="I481" s="3" t="s">
        <v>334</v>
      </c>
      <c r="J481" s="3" t="s">
        <v>195</v>
      </c>
      <c r="K481" s="133">
        <f>Y138</f>
        <v>409.1</v>
      </c>
      <c r="L481" s="133"/>
      <c r="M481" s="1" t="s">
        <v>1</v>
      </c>
    </row>
    <row r="483" spans="2:20" x14ac:dyDescent="0.15">
      <c r="D483" s="1" t="s">
        <v>626</v>
      </c>
      <c r="E483" s="3"/>
      <c r="F483" s="3"/>
    </row>
    <row r="484" spans="2:20" x14ac:dyDescent="0.15">
      <c r="D484" s="1" t="s">
        <v>645</v>
      </c>
      <c r="E484" s="3"/>
      <c r="F484" s="3"/>
      <c r="K484" s="1" t="s">
        <v>335</v>
      </c>
      <c r="L484" s="3"/>
      <c r="M484" s="3"/>
      <c r="P484" s="73" t="s">
        <v>336</v>
      </c>
      <c r="Q484" s="73"/>
      <c r="R484" s="3" t="s">
        <v>195</v>
      </c>
      <c r="S484" s="1">
        <v>27</v>
      </c>
      <c r="T484" s="1" t="s">
        <v>35</v>
      </c>
    </row>
    <row r="485" spans="2:20" x14ac:dyDescent="0.15">
      <c r="E485" s="3"/>
      <c r="F485" s="3"/>
    </row>
    <row r="486" spans="2:20" x14ac:dyDescent="0.15">
      <c r="D486" s="73" t="s">
        <v>423</v>
      </c>
      <c r="E486" s="73"/>
      <c r="F486" s="3" t="s">
        <v>195</v>
      </c>
      <c r="G486" s="73">
        <v>2.2000000000000002</v>
      </c>
      <c r="H486" s="73"/>
      <c r="I486" s="73" t="s">
        <v>35</v>
      </c>
      <c r="J486" s="73"/>
      <c r="K486" s="1" t="s">
        <v>341</v>
      </c>
      <c r="L486" s="73" t="s">
        <v>342</v>
      </c>
      <c r="M486" s="73"/>
      <c r="N486" s="3" t="s">
        <v>195</v>
      </c>
      <c r="O486" s="210">
        <f>$J$140</f>
        <v>13.5</v>
      </c>
      <c r="P486" s="210"/>
      <c r="Q486" s="73" t="s">
        <v>35</v>
      </c>
      <c r="R486" s="73"/>
      <c r="T486" s="3" t="str">
        <f>IF(G486&lt;O486,"OK","NG")</f>
        <v>OK</v>
      </c>
    </row>
    <row r="488" spans="2:20" x14ac:dyDescent="0.15">
      <c r="D488" s="1" t="s">
        <v>343</v>
      </c>
    </row>
    <row r="490" spans="2:20" x14ac:dyDescent="0.15">
      <c r="D490" s="73" t="s">
        <v>573</v>
      </c>
      <c r="E490" s="73"/>
      <c r="F490" s="3" t="s">
        <v>195</v>
      </c>
      <c r="G490" s="73">
        <v>59</v>
      </c>
      <c r="H490" s="73"/>
      <c r="I490" s="73" t="s">
        <v>35</v>
      </c>
      <c r="J490" s="73"/>
      <c r="K490" s="1" t="s">
        <v>341</v>
      </c>
      <c r="L490" s="73" t="s">
        <v>37</v>
      </c>
      <c r="M490" s="73"/>
      <c r="N490" s="3" t="s">
        <v>574</v>
      </c>
      <c r="O490" s="73">
        <f>$J$147</f>
        <v>345</v>
      </c>
      <c r="P490" s="73"/>
      <c r="Q490" s="73" t="s">
        <v>575</v>
      </c>
      <c r="R490" s="73"/>
      <c r="T490" s="3" t="str">
        <f>IF(G490&lt;O490,"OK","NG")</f>
        <v>OK</v>
      </c>
    </row>
    <row r="492" spans="2:20" x14ac:dyDescent="0.15">
      <c r="B492" s="1" t="s">
        <v>425</v>
      </c>
    </row>
    <row r="494" spans="2:20" x14ac:dyDescent="0.15">
      <c r="E494" s="73" t="s">
        <v>426</v>
      </c>
      <c r="F494" s="73" t="s">
        <v>382</v>
      </c>
      <c r="G494" s="73" t="s">
        <v>427</v>
      </c>
      <c r="H494" s="6" t="s">
        <v>428</v>
      </c>
      <c r="I494" s="73" t="s">
        <v>430</v>
      </c>
      <c r="J494" s="73" t="s">
        <v>401</v>
      </c>
      <c r="K494" s="73" t="s">
        <v>432</v>
      </c>
      <c r="L494" s="75" t="s">
        <v>431</v>
      </c>
      <c r="M494" s="75"/>
      <c r="N494" s="73" t="s">
        <v>405</v>
      </c>
    </row>
    <row r="495" spans="2:20" x14ac:dyDescent="0.15">
      <c r="E495" s="73"/>
      <c r="F495" s="73"/>
      <c r="G495" s="73"/>
      <c r="H495" s="3" t="s">
        <v>429</v>
      </c>
      <c r="I495" s="73"/>
      <c r="J495" s="73"/>
      <c r="K495" s="73"/>
      <c r="L495" s="73" t="s">
        <v>357</v>
      </c>
      <c r="M495" s="73"/>
      <c r="N495" s="73"/>
    </row>
    <row r="497" spans="1:29" x14ac:dyDescent="0.15">
      <c r="F497" s="73" t="s">
        <v>382</v>
      </c>
      <c r="G497" s="73" t="s">
        <v>427</v>
      </c>
      <c r="H497" s="75">
        <f>G490</f>
        <v>59</v>
      </c>
      <c r="I497" s="75"/>
      <c r="J497" s="73" t="s">
        <v>430</v>
      </c>
      <c r="K497" s="73" t="s">
        <v>401</v>
      </c>
      <c r="L497" s="73" t="s">
        <v>432</v>
      </c>
      <c r="M497" s="75">
        <v>71</v>
      </c>
      <c r="N497" s="75"/>
      <c r="O497" s="73" t="s">
        <v>405</v>
      </c>
    </row>
    <row r="498" spans="1:29" x14ac:dyDescent="0.15">
      <c r="F498" s="73"/>
      <c r="G498" s="73"/>
      <c r="H498" s="73">
        <f>$J$147</f>
        <v>345</v>
      </c>
      <c r="I498" s="73"/>
      <c r="J498" s="73"/>
      <c r="K498" s="73"/>
      <c r="L498" s="73"/>
      <c r="M498" s="73">
        <f>$Q$307</f>
        <v>195.5</v>
      </c>
      <c r="N498" s="73"/>
      <c r="O498" s="73"/>
    </row>
    <row r="500" spans="1:29" x14ac:dyDescent="0.15">
      <c r="F500" s="3" t="s">
        <v>382</v>
      </c>
      <c r="G500" s="131">
        <f>ROUNDUP((H497/H498)^2+(M497/M498)^2,2)</f>
        <v>0.17</v>
      </c>
      <c r="H500" s="131"/>
      <c r="I500" s="3" t="s">
        <v>433</v>
      </c>
      <c r="K500" s="72">
        <v>1.2</v>
      </c>
      <c r="L500" s="72"/>
      <c r="T500" s="3" t="str">
        <f>IF(G500&lt;K500,"OK","NG")</f>
        <v>OK</v>
      </c>
    </row>
    <row r="504" spans="1:29" x14ac:dyDescent="0.15">
      <c r="A504" s="1" t="s">
        <v>434</v>
      </c>
    </row>
    <row r="506" spans="1:29" x14ac:dyDescent="0.15">
      <c r="A506" s="11"/>
      <c r="B506" s="11" t="s">
        <v>435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x14ac:dyDescent="0.15">
      <c r="A507" s="11"/>
      <c r="B507" s="11" t="s">
        <v>436</v>
      </c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9" spans="1:29" x14ac:dyDescent="0.1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</row>
    <row r="510" spans="1:29" x14ac:dyDescent="0.15">
      <c r="A510" s="26"/>
      <c r="B510" s="26" t="s">
        <v>437</v>
      </c>
      <c r="C510" s="26"/>
      <c r="D510" s="26"/>
      <c r="E510" s="26"/>
      <c r="F510" s="26"/>
      <c r="G510" s="26"/>
      <c r="H510" s="26"/>
      <c r="I510" s="26"/>
      <c r="J510" s="26"/>
      <c r="K510" s="26"/>
      <c r="M510" s="73" t="s">
        <v>438</v>
      </c>
      <c r="N510" s="73"/>
      <c r="O510" s="3" t="s">
        <v>382</v>
      </c>
      <c r="P510" s="21">
        <v>27</v>
      </c>
      <c r="Q510" s="26" t="s">
        <v>35</v>
      </c>
      <c r="R510" s="26"/>
      <c r="S510" s="26"/>
      <c r="T510" s="26"/>
    </row>
    <row r="511" spans="1:29" x14ac:dyDescent="0.1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M511" s="26"/>
      <c r="N511" s="26"/>
      <c r="O511" s="26"/>
      <c r="P511" s="26"/>
      <c r="Q511" s="26"/>
      <c r="R511" s="26"/>
      <c r="S511" s="26"/>
      <c r="T511" s="26"/>
    </row>
    <row r="512" spans="1:29" x14ac:dyDescent="0.15">
      <c r="A512" s="26"/>
      <c r="B512" s="26" t="s">
        <v>439</v>
      </c>
      <c r="C512" s="26"/>
      <c r="D512" s="26"/>
      <c r="E512" s="26"/>
      <c r="F512" s="26"/>
      <c r="G512" s="26"/>
      <c r="H512" s="26"/>
      <c r="I512" s="26"/>
      <c r="J512" s="26"/>
      <c r="K512" s="26"/>
      <c r="M512" s="73" t="s">
        <v>440</v>
      </c>
      <c r="N512" s="73"/>
      <c r="O512" s="3" t="s">
        <v>382</v>
      </c>
      <c r="P512" s="26">
        <v>1.7</v>
      </c>
      <c r="Q512" s="3" t="s">
        <v>383</v>
      </c>
      <c r="R512" s="26">
        <v>1.5</v>
      </c>
      <c r="S512" s="26"/>
      <c r="T512" s="26"/>
    </row>
    <row r="513" spans="1:20" x14ac:dyDescent="0.1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M513" s="26"/>
      <c r="N513" s="26"/>
      <c r="O513" s="3" t="s">
        <v>441</v>
      </c>
      <c r="P513" s="70">
        <f>P512*R512</f>
        <v>2.5499999999999998</v>
      </c>
      <c r="Q513" s="26" t="s">
        <v>35</v>
      </c>
      <c r="R513" s="26"/>
      <c r="S513" s="26"/>
      <c r="T513" s="26"/>
    </row>
    <row r="514" spans="1:20" x14ac:dyDescent="0.1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M514" s="26"/>
      <c r="N514" s="26"/>
      <c r="O514" s="26"/>
      <c r="P514" s="26"/>
      <c r="Q514" s="26"/>
      <c r="R514" s="26"/>
      <c r="S514" s="26"/>
      <c r="T514" s="26"/>
    </row>
    <row r="515" spans="1:20" x14ac:dyDescent="0.15">
      <c r="A515" s="26"/>
      <c r="B515" s="26" t="s">
        <v>442</v>
      </c>
      <c r="C515" s="26"/>
      <c r="D515" s="26"/>
      <c r="E515" s="26"/>
      <c r="F515" s="26"/>
      <c r="G515" s="26"/>
      <c r="H515" s="26"/>
      <c r="I515" s="26"/>
      <c r="J515" s="26"/>
      <c r="K515" s="26"/>
      <c r="M515" s="73" t="s">
        <v>440</v>
      </c>
      <c r="N515" s="73"/>
      <c r="O515" s="3" t="s">
        <v>441</v>
      </c>
      <c r="P515" s="26">
        <v>11</v>
      </c>
      <c r="Q515" s="26" t="s">
        <v>35</v>
      </c>
      <c r="R515" s="26"/>
      <c r="S515" s="26"/>
      <c r="T515" s="26"/>
    </row>
    <row r="516" spans="1:20" x14ac:dyDescent="0.1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M516" s="26"/>
      <c r="N516" s="26"/>
      <c r="O516" s="26"/>
      <c r="P516" s="26"/>
      <c r="Q516" s="26"/>
      <c r="R516" s="26"/>
      <c r="S516" s="26"/>
      <c r="T516" s="26"/>
    </row>
    <row r="517" spans="1:20" x14ac:dyDescent="0.15">
      <c r="A517" s="26"/>
      <c r="B517" s="26" t="s">
        <v>443</v>
      </c>
      <c r="C517" s="26"/>
      <c r="D517" s="26"/>
      <c r="E517" s="26"/>
      <c r="F517" s="26"/>
      <c r="G517" s="26"/>
      <c r="H517" s="26"/>
      <c r="I517" s="26"/>
      <c r="J517" s="26"/>
      <c r="K517" s="26"/>
      <c r="M517" s="73" t="s">
        <v>444</v>
      </c>
      <c r="N517" s="73"/>
      <c r="O517" s="3" t="s">
        <v>441</v>
      </c>
      <c r="P517" s="69">
        <v>0.95</v>
      </c>
      <c r="Q517" s="3" t="s">
        <v>418</v>
      </c>
      <c r="R517" s="26">
        <v>1.5</v>
      </c>
      <c r="S517" s="26"/>
      <c r="T517" s="26"/>
    </row>
    <row r="518" spans="1:20" x14ac:dyDescent="0.1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M518" s="26"/>
      <c r="N518" s="26"/>
      <c r="O518" s="3" t="s">
        <v>441</v>
      </c>
      <c r="P518" s="84">
        <f>P517*R517</f>
        <v>1.4249999999999998</v>
      </c>
      <c r="Q518" s="84"/>
      <c r="R518" s="73" t="s">
        <v>35</v>
      </c>
      <c r="S518" s="73"/>
      <c r="T518" s="26"/>
    </row>
    <row r="519" spans="1:20" x14ac:dyDescent="0.1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M519" s="26"/>
      <c r="N519" s="26"/>
      <c r="O519" s="26"/>
      <c r="P519" s="26"/>
      <c r="Q519" s="26"/>
      <c r="R519" s="26"/>
      <c r="S519" s="26"/>
      <c r="T519" s="26"/>
    </row>
    <row r="520" spans="1:20" x14ac:dyDescent="0.15">
      <c r="A520" s="26"/>
      <c r="B520" s="26" t="s">
        <v>445</v>
      </c>
      <c r="C520" s="26"/>
      <c r="D520" s="26"/>
      <c r="E520" s="26"/>
      <c r="F520" s="26"/>
      <c r="G520" s="26"/>
      <c r="H520" s="26"/>
      <c r="I520" s="26"/>
      <c r="J520" s="26"/>
      <c r="K520" s="26"/>
      <c r="M520" s="26"/>
      <c r="N520" s="3" t="s">
        <v>446</v>
      </c>
      <c r="O520" s="3" t="s">
        <v>441</v>
      </c>
      <c r="P520" s="26">
        <v>51</v>
      </c>
      <c r="Q520" s="26" t="s">
        <v>414</v>
      </c>
      <c r="R520" s="26"/>
      <c r="S520" s="26"/>
      <c r="T520" s="26"/>
    </row>
    <row r="521" spans="1:20" x14ac:dyDescent="0.1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M521" s="26"/>
      <c r="N521" s="26"/>
      <c r="O521" s="26"/>
      <c r="P521" s="26"/>
      <c r="Q521" s="26"/>
      <c r="R521" s="26"/>
      <c r="S521" s="26"/>
      <c r="T521" s="26"/>
    </row>
    <row r="522" spans="1:20" x14ac:dyDescent="0.15">
      <c r="A522" s="26"/>
      <c r="B522" s="26" t="s">
        <v>447</v>
      </c>
      <c r="C522" s="26"/>
      <c r="D522" s="26"/>
      <c r="E522" s="26"/>
      <c r="F522" s="26"/>
      <c r="G522" s="26"/>
      <c r="H522" s="26"/>
      <c r="I522" s="26"/>
      <c r="J522" s="26"/>
      <c r="K522" s="26"/>
      <c r="M522" s="26"/>
      <c r="N522" s="3" t="s">
        <v>449</v>
      </c>
      <c r="O522" s="3" t="s">
        <v>441</v>
      </c>
      <c r="P522" s="3" t="s">
        <v>446</v>
      </c>
      <c r="Q522" s="3" t="s">
        <v>450</v>
      </c>
      <c r="R522" s="26">
        <v>10</v>
      </c>
      <c r="S522" s="26" t="s">
        <v>414</v>
      </c>
      <c r="T522" s="26"/>
    </row>
    <row r="523" spans="1:20" x14ac:dyDescent="0.1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M523" s="26"/>
      <c r="N523" s="26"/>
      <c r="O523" s="3" t="s">
        <v>441</v>
      </c>
      <c r="P523" s="3">
        <f>P520</f>
        <v>51</v>
      </c>
      <c r="Q523" s="3" t="s">
        <v>451</v>
      </c>
      <c r="R523" s="26">
        <f>R522</f>
        <v>10</v>
      </c>
      <c r="S523" s="26"/>
      <c r="T523" s="26"/>
    </row>
    <row r="524" spans="1:20" x14ac:dyDescent="0.15">
      <c r="A524" s="26"/>
      <c r="B524" s="26"/>
      <c r="C524" s="26"/>
      <c r="D524" s="26"/>
      <c r="K524" s="26"/>
      <c r="M524" s="26"/>
      <c r="N524" s="26"/>
      <c r="O524" s="3" t="s">
        <v>441</v>
      </c>
      <c r="P524" s="26">
        <f>P523+R523</f>
        <v>61</v>
      </c>
      <c r="Q524" s="26" t="s">
        <v>676</v>
      </c>
      <c r="R524" s="26"/>
      <c r="S524" s="26"/>
      <c r="T524" s="26"/>
    </row>
    <row r="525" spans="1:20" x14ac:dyDescent="0.1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M525" s="26"/>
      <c r="N525" s="26"/>
      <c r="O525" s="26"/>
      <c r="P525" s="26"/>
      <c r="Q525" s="26"/>
      <c r="R525" s="26"/>
      <c r="S525" s="26"/>
      <c r="T525" s="26"/>
    </row>
    <row r="526" spans="1:20" x14ac:dyDescent="0.15">
      <c r="A526" s="26"/>
      <c r="B526" s="26" t="s">
        <v>452</v>
      </c>
      <c r="C526" s="26"/>
      <c r="D526" s="26"/>
      <c r="E526" s="26"/>
      <c r="F526" s="26"/>
      <c r="G526" s="26"/>
      <c r="H526" s="26"/>
      <c r="I526" s="26"/>
      <c r="J526" s="26"/>
      <c r="K526" s="26"/>
      <c r="M526" s="3" t="s">
        <v>453</v>
      </c>
      <c r="N526" s="3"/>
      <c r="O526" s="3" t="s">
        <v>380</v>
      </c>
      <c r="P526" s="3" t="s">
        <v>454</v>
      </c>
      <c r="Q526" s="3" t="s">
        <v>383</v>
      </c>
      <c r="R526" s="3" t="s">
        <v>455</v>
      </c>
      <c r="S526" s="26"/>
      <c r="T526" s="26"/>
    </row>
    <row r="527" spans="1:20" x14ac:dyDescent="0.1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M527" s="26"/>
      <c r="N527" s="26"/>
      <c r="O527" s="3" t="s">
        <v>382</v>
      </c>
      <c r="P527" s="128">
        <f>I240</f>
        <v>244.5</v>
      </c>
      <c r="Q527" s="128"/>
      <c r="R527" s="3" t="s">
        <v>383</v>
      </c>
      <c r="S527" s="79">
        <f>G166</f>
        <v>1473.1133509053361</v>
      </c>
      <c r="T527" s="79"/>
    </row>
    <row r="528" spans="1:20" x14ac:dyDescent="0.1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M528" s="26"/>
      <c r="N528" s="26"/>
      <c r="O528" s="3" t="s">
        <v>382</v>
      </c>
      <c r="P528" s="127">
        <f>P527*S527</f>
        <v>360176.21429635468</v>
      </c>
      <c r="Q528" s="127"/>
      <c r="R528" s="127"/>
      <c r="S528" s="3" t="s">
        <v>456</v>
      </c>
      <c r="T528" s="26"/>
    </row>
    <row r="529" spans="1:29" x14ac:dyDescent="0.1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M529" s="26"/>
      <c r="N529" s="26"/>
      <c r="O529" s="26"/>
      <c r="P529" s="26"/>
      <c r="Q529" s="26"/>
      <c r="R529" s="26"/>
      <c r="S529" s="26"/>
      <c r="T529" s="26"/>
    </row>
    <row r="530" spans="1:29" x14ac:dyDescent="0.15">
      <c r="A530" s="26"/>
      <c r="B530" s="26" t="s">
        <v>457</v>
      </c>
      <c r="C530" s="26"/>
      <c r="D530" s="26"/>
      <c r="E530" s="26"/>
      <c r="F530" s="26"/>
      <c r="G530" s="26"/>
      <c r="H530" s="26"/>
      <c r="I530" s="26"/>
      <c r="J530" s="26"/>
      <c r="K530" s="26"/>
      <c r="M530" s="73" t="s">
        <v>458</v>
      </c>
      <c r="N530" s="73"/>
      <c r="O530" s="3" t="s">
        <v>382</v>
      </c>
      <c r="P530" s="26">
        <v>15</v>
      </c>
      <c r="Q530" s="3" t="s">
        <v>383</v>
      </c>
      <c r="R530" s="3" t="s">
        <v>446</v>
      </c>
      <c r="S530" s="26"/>
      <c r="T530" s="26"/>
    </row>
    <row r="531" spans="1:29" x14ac:dyDescent="0.1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M531" s="26"/>
      <c r="N531" s="26"/>
      <c r="O531" s="3" t="s">
        <v>382</v>
      </c>
      <c r="P531" s="73">
        <f>P530*P520</f>
        <v>765</v>
      </c>
      <c r="Q531" s="73"/>
      <c r="R531" s="26" t="s">
        <v>414</v>
      </c>
      <c r="S531" s="26"/>
      <c r="T531" s="26"/>
    </row>
    <row r="532" spans="1:29" x14ac:dyDescent="0.1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</row>
    <row r="533" spans="1:29" x14ac:dyDescent="0.15">
      <c r="A533" s="26"/>
      <c r="B533" s="26" t="s">
        <v>459</v>
      </c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73" t="s">
        <v>382</v>
      </c>
      <c r="P533" s="75" t="s">
        <v>453</v>
      </c>
      <c r="Q533" s="75"/>
      <c r="R533" s="75"/>
      <c r="S533" s="75"/>
      <c r="T533" s="75"/>
      <c r="U533" s="75"/>
      <c r="Y533" s="26"/>
      <c r="Z533" s="26"/>
    </row>
    <row r="534" spans="1:29" x14ac:dyDescent="0.1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73"/>
      <c r="P534" s="73" t="s">
        <v>440</v>
      </c>
      <c r="Q534" s="73"/>
      <c r="R534" s="3" t="s">
        <v>353</v>
      </c>
      <c r="S534" s="26" t="s">
        <v>460</v>
      </c>
      <c r="T534" s="3" t="s">
        <v>353</v>
      </c>
      <c r="U534" s="26" t="s">
        <v>448</v>
      </c>
      <c r="Y534" s="26"/>
      <c r="Z534" s="26"/>
    </row>
    <row r="535" spans="1:29" x14ac:dyDescent="0.1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Y535" s="26"/>
      <c r="Z535" s="26"/>
    </row>
    <row r="536" spans="1:29" x14ac:dyDescent="0.15">
      <c r="A536" s="26"/>
      <c r="B536" s="26"/>
      <c r="C536" s="26"/>
      <c r="D536" s="26"/>
      <c r="E536" s="26"/>
      <c r="L536" s="26"/>
      <c r="M536" s="26"/>
      <c r="N536" s="26"/>
      <c r="O536" s="73" t="s">
        <v>382</v>
      </c>
      <c r="P536" s="17"/>
      <c r="Q536" s="75">
        <f>$P$528</f>
        <v>360176.21429635468</v>
      </c>
      <c r="R536" s="75"/>
      <c r="S536" s="75"/>
      <c r="T536" s="17"/>
      <c r="U536" s="26"/>
      <c r="Y536" s="26"/>
      <c r="Z536" s="26"/>
    </row>
    <row r="537" spans="1:29" x14ac:dyDescent="0.15">
      <c r="A537" s="26"/>
      <c r="B537" s="26"/>
      <c r="C537" s="26"/>
      <c r="D537" s="26"/>
      <c r="E537" s="26"/>
      <c r="L537" s="26"/>
      <c r="M537" s="26"/>
      <c r="N537" s="26"/>
      <c r="O537" s="73"/>
      <c r="P537" s="26">
        <f>P513</f>
        <v>2.5499999999999998</v>
      </c>
      <c r="Q537" s="3" t="s">
        <v>353</v>
      </c>
      <c r="R537" s="26" t="s">
        <v>460</v>
      </c>
      <c r="S537" s="3" t="s">
        <v>353</v>
      </c>
      <c r="T537" s="26">
        <f>P524</f>
        <v>61</v>
      </c>
      <c r="U537" s="26"/>
      <c r="Y537" s="26"/>
      <c r="Z537" s="26"/>
    </row>
    <row r="538" spans="1:29" x14ac:dyDescent="0.15">
      <c r="A538" s="26"/>
      <c r="B538" s="26"/>
      <c r="C538" s="26"/>
      <c r="D538" s="26"/>
      <c r="E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Y538" s="26"/>
      <c r="Z538" s="26"/>
    </row>
    <row r="539" spans="1:29" x14ac:dyDescent="0.15">
      <c r="A539" s="26"/>
      <c r="B539" s="26"/>
      <c r="C539" s="26"/>
      <c r="D539" s="26"/>
      <c r="E539" s="26"/>
      <c r="L539" s="26"/>
      <c r="M539" s="26"/>
      <c r="N539" s="26"/>
      <c r="O539" s="3" t="s">
        <v>382</v>
      </c>
      <c r="P539" s="73">
        <f>ROUNDUP(Q536/(P537*PI()*T537),1)</f>
        <v>737.1</v>
      </c>
      <c r="Q539" s="73"/>
      <c r="R539" s="26" t="s">
        <v>360</v>
      </c>
      <c r="S539" s="3" t="s">
        <v>433</v>
      </c>
      <c r="T539" s="73" t="s">
        <v>461</v>
      </c>
      <c r="U539" s="73"/>
      <c r="Y539" s="26"/>
      <c r="Z539" s="26"/>
    </row>
    <row r="540" spans="1:29" x14ac:dyDescent="0.1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Y540" s="26"/>
      <c r="Z540" s="26"/>
    </row>
    <row r="541" spans="1:29" x14ac:dyDescent="0.15">
      <c r="A541" s="26"/>
      <c r="B541" s="26" t="s">
        <v>462</v>
      </c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73" t="s">
        <v>382</v>
      </c>
      <c r="P541" s="75" t="s">
        <v>453</v>
      </c>
      <c r="Q541" s="75"/>
      <c r="R541" s="75"/>
      <c r="S541" s="75"/>
      <c r="T541" s="75"/>
      <c r="U541" s="75"/>
      <c r="Y541" s="26"/>
      <c r="Z541" s="26"/>
    </row>
    <row r="542" spans="1:29" x14ac:dyDescent="0.1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73"/>
      <c r="P542" s="73" t="s">
        <v>440</v>
      </c>
      <c r="Q542" s="73"/>
      <c r="R542" s="3" t="s">
        <v>353</v>
      </c>
      <c r="S542" s="26" t="s">
        <v>460</v>
      </c>
      <c r="T542" s="3" t="s">
        <v>353</v>
      </c>
      <c r="U542" s="26" t="s">
        <v>448</v>
      </c>
      <c r="Y542" s="26"/>
      <c r="Z542" s="26"/>
    </row>
    <row r="543" spans="1:29" x14ac:dyDescent="0.1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Y543" s="26"/>
      <c r="Z543" s="26"/>
    </row>
    <row r="544" spans="1:29" x14ac:dyDescent="0.15">
      <c r="A544" s="26"/>
      <c r="B544" s="26"/>
      <c r="C544" s="26"/>
      <c r="D544" s="26"/>
      <c r="E544" s="26"/>
      <c r="N544" s="26"/>
      <c r="O544" s="73" t="s">
        <v>382</v>
      </c>
      <c r="P544" s="17"/>
      <c r="Q544" s="75">
        <f>$P$528</f>
        <v>360176.21429635468</v>
      </c>
      <c r="R544" s="75"/>
      <c r="S544" s="75"/>
      <c r="T544" s="17"/>
      <c r="U544" s="26"/>
      <c r="Y544" s="26"/>
      <c r="Z544" s="26"/>
    </row>
    <row r="545" spans="1:29" x14ac:dyDescent="0.15">
      <c r="A545" s="26"/>
      <c r="B545" s="26"/>
      <c r="C545" s="26"/>
      <c r="D545" s="26"/>
      <c r="E545" s="26"/>
      <c r="N545" s="26"/>
      <c r="O545" s="73"/>
      <c r="P545" s="26">
        <f>P515</f>
        <v>11</v>
      </c>
      <c r="Q545" s="3" t="s">
        <v>353</v>
      </c>
      <c r="R545" s="26" t="s">
        <v>460</v>
      </c>
      <c r="S545" s="3" t="s">
        <v>353</v>
      </c>
      <c r="T545" s="26">
        <f>P524</f>
        <v>61</v>
      </c>
      <c r="U545" s="26"/>
      <c r="Y545" s="26"/>
      <c r="Z545" s="26"/>
    </row>
    <row r="546" spans="1:29" x14ac:dyDescent="0.15">
      <c r="A546" s="26"/>
      <c r="B546" s="26"/>
      <c r="C546" s="26"/>
      <c r="D546" s="26"/>
      <c r="E546" s="26"/>
      <c r="M546" s="26"/>
      <c r="N546" s="26"/>
      <c r="O546" s="26"/>
      <c r="P546" s="26"/>
      <c r="Q546" s="26"/>
      <c r="R546" s="26"/>
      <c r="S546" s="26"/>
      <c r="T546" s="26"/>
      <c r="U546" s="26"/>
      <c r="Y546" s="26"/>
      <c r="Z546" s="26"/>
    </row>
    <row r="547" spans="1:29" x14ac:dyDescent="0.15">
      <c r="A547" s="26"/>
      <c r="B547" s="26"/>
      <c r="C547" s="26"/>
      <c r="D547" s="26"/>
      <c r="E547" s="26"/>
      <c r="M547" s="26"/>
      <c r="N547" s="26"/>
      <c r="O547" s="3" t="s">
        <v>382</v>
      </c>
      <c r="P547" s="73">
        <f>ROUNDUP(Q544/(P545*PI()*T545),1)</f>
        <v>170.9</v>
      </c>
      <c r="Q547" s="73"/>
      <c r="R547" s="26" t="s">
        <v>360</v>
      </c>
      <c r="S547" s="3" t="s">
        <v>433</v>
      </c>
      <c r="T547" s="73" t="s">
        <v>461</v>
      </c>
      <c r="U547" s="73"/>
      <c r="Y547" s="26"/>
      <c r="Z547" s="26"/>
    </row>
    <row r="548" spans="1:29" x14ac:dyDescent="0.1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</row>
    <row r="549" spans="1:29" x14ac:dyDescent="0.15">
      <c r="A549" s="26"/>
      <c r="B549" s="26" t="s">
        <v>463</v>
      </c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73">
        <f>P531</f>
        <v>765</v>
      </c>
      <c r="N549" s="73"/>
      <c r="O549" s="26" t="s">
        <v>360</v>
      </c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</row>
    <row r="550" spans="1:29" x14ac:dyDescent="0.15">
      <c r="A550" s="26"/>
      <c r="B550" s="26" t="s">
        <v>464</v>
      </c>
      <c r="C550" s="26"/>
      <c r="D550" s="26"/>
      <c r="E550" s="26"/>
      <c r="F550" s="26"/>
      <c r="G550" s="26"/>
      <c r="H550" s="26"/>
      <c r="I550" s="26"/>
      <c r="J550" s="26"/>
      <c r="K550" s="26"/>
      <c r="L550" s="73">
        <f>M549</f>
        <v>765</v>
      </c>
      <c r="M550" s="73"/>
      <c r="N550" s="26" t="s">
        <v>190</v>
      </c>
      <c r="O550" s="26" t="s">
        <v>465</v>
      </c>
      <c r="P550" s="26"/>
      <c r="Q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</row>
    <row r="551" spans="1:29" x14ac:dyDescent="0.1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</row>
    <row r="552" spans="1:29" x14ac:dyDescent="0.15">
      <c r="A552" s="26" t="s">
        <v>466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</row>
    <row r="553" spans="1:29" x14ac:dyDescent="0.1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</row>
    <row r="554" spans="1:29" x14ac:dyDescent="0.15">
      <c r="A554" s="26"/>
      <c r="B554" s="26" t="s">
        <v>467</v>
      </c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</row>
    <row r="555" spans="1:29" x14ac:dyDescent="0.1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</row>
    <row r="556" spans="1:29" x14ac:dyDescent="0.1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</row>
    <row r="557" spans="1:29" x14ac:dyDescent="0.1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</row>
    <row r="558" spans="1:29" x14ac:dyDescent="0.1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</row>
    <row r="559" spans="1:29" x14ac:dyDescent="0.1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</row>
    <row r="560" spans="1:29" x14ac:dyDescent="0.1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</row>
    <row r="561" spans="1:29" x14ac:dyDescent="0.1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</row>
    <row r="562" spans="1:29" x14ac:dyDescent="0.1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</row>
    <row r="563" spans="1:29" x14ac:dyDescent="0.1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</row>
    <row r="564" spans="1:29" x14ac:dyDescent="0.1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</row>
    <row r="565" spans="1:29" x14ac:dyDescent="0.1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</row>
    <row r="566" spans="1:29" x14ac:dyDescent="0.1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</row>
    <row r="567" spans="1:29" x14ac:dyDescent="0.1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</row>
    <row r="568" spans="1:29" x14ac:dyDescent="0.1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</row>
    <row r="569" spans="1:29" x14ac:dyDescent="0.1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</row>
    <row r="570" spans="1:29" x14ac:dyDescent="0.1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</row>
    <row r="571" spans="1:29" x14ac:dyDescent="0.1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</row>
    <row r="572" spans="1:29" x14ac:dyDescent="0.1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</row>
    <row r="573" spans="1:29" x14ac:dyDescent="0.1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</row>
    <row r="574" spans="1:29" x14ac:dyDescent="0.15">
      <c r="A574" s="26"/>
      <c r="B574" s="26" t="s">
        <v>468</v>
      </c>
      <c r="C574" s="26"/>
      <c r="D574" s="26"/>
      <c r="E574" s="26"/>
      <c r="F574" s="73" t="s">
        <v>471</v>
      </c>
      <c r="G574" s="73"/>
      <c r="H574" s="3" t="s">
        <v>195</v>
      </c>
      <c r="I574" s="73">
        <f>P531</f>
        <v>765</v>
      </c>
      <c r="J574" s="73"/>
      <c r="K574" s="26" t="s">
        <v>472</v>
      </c>
      <c r="L574" s="26"/>
      <c r="M574" s="26"/>
      <c r="N574" s="26"/>
      <c r="P574" s="26" t="s">
        <v>480</v>
      </c>
      <c r="Q574" s="26"/>
      <c r="R574" s="26"/>
      <c r="S574" s="3"/>
      <c r="T574" s="26"/>
      <c r="U574" s="26"/>
      <c r="V574" s="26"/>
      <c r="AA574" s="26"/>
    </row>
    <row r="575" spans="1:29" x14ac:dyDescent="0.15">
      <c r="A575" s="26"/>
      <c r="B575" s="26"/>
      <c r="C575" s="26"/>
      <c r="D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3" t="s">
        <v>481</v>
      </c>
      <c r="S575" s="3" t="s">
        <v>195</v>
      </c>
      <c r="T575" s="129">
        <v>294</v>
      </c>
      <c r="U575" s="129"/>
      <c r="V575" s="26" t="s">
        <v>474</v>
      </c>
      <c r="AA575" s="26"/>
    </row>
    <row r="576" spans="1:29" x14ac:dyDescent="0.15">
      <c r="A576" s="26"/>
      <c r="B576" s="26" t="s">
        <v>469</v>
      </c>
      <c r="C576" s="26"/>
      <c r="D576" s="26"/>
      <c r="E576" s="3"/>
      <c r="F576" s="73" t="s">
        <v>473</v>
      </c>
      <c r="G576" s="73"/>
      <c r="H576" s="3" t="s">
        <v>195</v>
      </c>
      <c r="I576" s="129">
        <v>250</v>
      </c>
      <c r="J576" s="129"/>
      <c r="K576" s="26" t="s">
        <v>474</v>
      </c>
      <c r="L576" s="26"/>
      <c r="M576" s="26"/>
      <c r="N576" s="26"/>
      <c r="O576" s="26"/>
      <c r="P576" s="26"/>
      <c r="Q576" s="26"/>
      <c r="AA576" s="26"/>
    </row>
    <row r="577" spans="1:29" x14ac:dyDescent="0.15">
      <c r="A577" s="26"/>
      <c r="B577" s="26"/>
      <c r="C577" s="26"/>
      <c r="D577" s="26"/>
      <c r="E577" s="3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3" t="s">
        <v>482</v>
      </c>
      <c r="S577" s="3" t="s">
        <v>195</v>
      </c>
      <c r="T577" s="73">
        <v>125</v>
      </c>
      <c r="U577" s="73"/>
      <c r="V577" s="26" t="s">
        <v>474</v>
      </c>
      <c r="AA577" s="26"/>
    </row>
    <row r="578" spans="1:29" x14ac:dyDescent="0.15">
      <c r="A578" s="26"/>
      <c r="B578" s="26" t="s">
        <v>470</v>
      </c>
      <c r="C578" s="26"/>
      <c r="D578" s="26"/>
      <c r="E578" s="3"/>
      <c r="F578" s="73" t="s">
        <v>475</v>
      </c>
      <c r="G578" s="73"/>
      <c r="H578" s="3" t="s">
        <v>195</v>
      </c>
      <c r="I578" s="3" t="s">
        <v>471</v>
      </c>
      <c r="J578" s="3" t="s">
        <v>476</v>
      </c>
      <c r="K578" s="73" t="s">
        <v>477</v>
      </c>
      <c r="L578" s="73"/>
      <c r="M578" s="3" t="s">
        <v>478</v>
      </c>
      <c r="N578" s="26">
        <v>2</v>
      </c>
      <c r="O578" s="26"/>
      <c r="P578" s="26"/>
      <c r="Q578" s="26"/>
      <c r="R578" s="26"/>
      <c r="S578" s="26"/>
      <c r="T578" s="26"/>
      <c r="U578" s="26"/>
      <c r="V578" s="26"/>
      <c r="AA578" s="26"/>
    </row>
    <row r="579" spans="1:29" x14ac:dyDescent="0.15">
      <c r="A579" s="26"/>
      <c r="B579" s="26"/>
      <c r="C579" s="26"/>
      <c r="D579" s="26"/>
      <c r="G579" s="3"/>
      <c r="H579" s="3" t="s">
        <v>195</v>
      </c>
      <c r="I579" s="73">
        <f>I574</f>
        <v>765</v>
      </c>
      <c r="J579" s="73"/>
      <c r="K579" s="3" t="s">
        <v>479</v>
      </c>
      <c r="L579" s="73">
        <f>I576</f>
        <v>250</v>
      </c>
      <c r="M579" s="73"/>
      <c r="N579" s="3" t="s">
        <v>478</v>
      </c>
      <c r="O579" s="26">
        <v>2</v>
      </c>
      <c r="P579" s="26"/>
      <c r="Q579" s="26"/>
      <c r="R579" s="3" t="s">
        <v>483</v>
      </c>
      <c r="S579" s="3" t="s">
        <v>195</v>
      </c>
      <c r="T579" s="73">
        <v>360</v>
      </c>
      <c r="U579" s="73"/>
      <c r="V579" s="26" t="s">
        <v>484</v>
      </c>
      <c r="AA579" s="26"/>
    </row>
    <row r="580" spans="1:29" x14ac:dyDescent="0.15">
      <c r="A580" s="26"/>
      <c r="B580" s="26"/>
      <c r="C580" s="26"/>
      <c r="D580" s="26"/>
      <c r="G580" s="3"/>
      <c r="H580" s="3" t="s">
        <v>195</v>
      </c>
      <c r="I580" s="73">
        <f>I579-L579/O579</f>
        <v>640</v>
      </c>
      <c r="J580" s="73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Y580" s="26"/>
      <c r="Z580" s="26"/>
      <c r="AA580" s="26"/>
    </row>
    <row r="581" spans="1:29" x14ac:dyDescent="0.1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</row>
    <row r="582" spans="1:29" x14ac:dyDescent="0.15">
      <c r="A582" s="26"/>
      <c r="B582" s="26" t="s">
        <v>485</v>
      </c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</row>
    <row r="583" spans="1:29" x14ac:dyDescent="0.1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</row>
    <row r="584" spans="1:29" x14ac:dyDescent="0.15">
      <c r="A584" s="26"/>
      <c r="B584" s="3" t="s">
        <v>486</v>
      </c>
      <c r="C584" s="3" t="s">
        <v>195</v>
      </c>
      <c r="D584" s="3" t="s">
        <v>487</v>
      </c>
      <c r="E584" s="73" t="s">
        <v>477</v>
      </c>
      <c r="F584" s="73"/>
      <c r="G584" s="3" t="s">
        <v>478</v>
      </c>
      <c r="H584" s="26">
        <v>2</v>
      </c>
      <c r="I584" s="3" t="s">
        <v>488</v>
      </c>
      <c r="J584" s="3" t="s">
        <v>489</v>
      </c>
      <c r="K584" s="3" t="s">
        <v>490</v>
      </c>
      <c r="L584" s="3" t="s">
        <v>491</v>
      </c>
      <c r="M584" s="26">
        <v>2</v>
      </c>
      <c r="N584" s="3" t="s">
        <v>492</v>
      </c>
      <c r="O584" s="73" t="s">
        <v>477</v>
      </c>
      <c r="P584" s="73"/>
      <c r="Q584" s="3" t="s">
        <v>478</v>
      </c>
      <c r="R584" s="26">
        <v>2</v>
      </c>
    </row>
    <row r="585" spans="1:29" x14ac:dyDescent="0.15">
      <c r="A585" s="26"/>
      <c r="B585" s="26"/>
      <c r="C585" s="26"/>
      <c r="D585" s="26"/>
      <c r="E585" s="26"/>
      <c r="F585" s="26"/>
      <c r="G585" s="26"/>
      <c r="H585" s="26"/>
      <c r="I585" s="3" t="s">
        <v>493</v>
      </c>
      <c r="J585" s="73" t="s">
        <v>477</v>
      </c>
      <c r="K585" s="73"/>
      <c r="L585" s="3" t="s">
        <v>490</v>
      </c>
      <c r="M585" s="3" t="s">
        <v>494</v>
      </c>
      <c r="N585" s="3" t="s">
        <v>490</v>
      </c>
      <c r="O585" s="3" t="s">
        <v>499</v>
      </c>
      <c r="P585" s="26"/>
      <c r="Q585" s="3" t="s">
        <v>495</v>
      </c>
      <c r="R585" s="3" t="s">
        <v>496</v>
      </c>
      <c r="S585" s="3" t="s">
        <v>500</v>
      </c>
      <c r="T585" s="3" t="s">
        <v>498</v>
      </c>
      <c r="U585" s="73" t="s">
        <v>497</v>
      </c>
      <c r="V585" s="73"/>
    </row>
    <row r="586" spans="1:29" x14ac:dyDescent="0.15">
      <c r="A586" s="26"/>
      <c r="B586" s="26"/>
    </row>
    <row r="587" spans="1:29" x14ac:dyDescent="0.15">
      <c r="A587" s="26"/>
      <c r="B587" s="26"/>
    </row>
    <row r="588" spans="1:29" x14ac:dyDescent="0.15">
      <c r="A588" s="26"/>
      <c r="B588" s="3" t="s">
        <v>195</v>
      </c>
      <c r="C588" s="3" t="s">
        <v>487</v>
      </c>
      <c r="D588" s="73">
        <f>$I$576</f>
        <v>250</v>
      </c>
      <c r="E588" s="73"/>
      <c r="F588" s="3" t="s">
        <v>478</v>
      </c>
      <c r="G588" s="26">
        <v>2</v>
      </c>
      <c r="H588" s="3" t="s">
        <v>488</v>
      </c>
      <c r="I588" s="3" t="s">
        <v>489</v>
      </c>
      <c r="J588" s="3" t="s">
        <v>490</v>
      </c>
      <c r="K588" s="3" t="s">
        <v>491</v>
      </c>
      <c r="L588" s="26">
        <v>2</v>
      </c>
      <c r="M588" s="3" t="s">
        <v>492</v>
      </c>
      <c r="N588" s="73">
        <f>$I$576</f>
        <v>250</v>
      </c>
      <c r="O588" s="73"/>
      <c r="P588" s="3" t="s">
        <v>478</v>
      </c>
      <c r="Q588" s="26">
        <v>2</v>
      </c>
    </row>
    <row r="589" spans="1:29" x14ac:dyDescent="0.15">
      <c r="A589" s="26"/>
      <c r="B589" s="26"/>
      <c r="C589" s="26"/>
      <c r="D589" s="26"/>
      <c r="E589" s="26"/>
      <c r="F589" s="26"/>
      <c r="G589" s="26"/>
      <c r="H589" s="26"/>
      <c r="I589" s="3" t="s">
        <v>493</v>
      </c>
      <c r="J589" s="73">
        <f>$I$576</f>
        <v>250</v>
      </c>
      <c r="K589" s="73"/>
      <c r="L589" s="3" t="s">
        <v>490</v>
      </c>
      <c r="M589" s="3" t="s">
        <v>494</v>
      </c>
      <c r="N589" s="3" t="s">
        <v>490</v>
      </c>
      <c r="O589" s="73">
        <f>I580</f>
        <v>640</v>
      </c>
      <c r="P589" s="73"/>
      <c r="Q589" s="3" t="s">
        <v>495</v>
      </c>
      <c r="R589" s="3" t="s">
        <v>496</v>
      </c>
      <c r="S589" s="73">
        <v>360</v>
      </c>
      <c r="T589" s="73"/>
      <c r="U589" s="3" t="s">
        <v>498</v>
      </c>
      <c r="V589" s="73" t="s">
        <v>497</v>
      </c>
      <c r="W589" s="73"/>
      <c r="AB589" s="26"/>
    </row>
    <row r="590" spans="1:29" x14ac:dyDescent="0.15">
      <c r="A590" s="26"/>
      <c r="B590" s="3" t="s">
        <v>13</v>
      </c>
      <c r="C590" s="132">
        <f>(D588/G588*PI()*L588^0.5*N588/Q588+J589*PI()*O589*S589/360)</f>
        <v>572074.87048309133</v>
      </c>
      <c r="D590" s="132"/>
      <c r="E590" s="132"/>
      <c r="F590" s="26" t="s">
        <v>678</v>
      </c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</row>
    <row r="591" spans="1:29" x14ac:dyDescent="0.15">
      <c r="A591" s="26"/>
      <c r="B591" s="3"/>
      <c r="C591" s="3"/>
      <c r="D591" s="3"/>
      <c r="E591" s="3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</row>
    <row r="592" spans="1:29" x14ac:dyDescent="0.15">
      <c r="A592" s="26"/>
      <c r="B592" s="26" t="s">
        <v>501</v>
      </c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</row>
    <row r="593" spans="1:29" x14ac:dyDescent="0.1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</row>
    <row r="594" spans="1:29" x14ac:dyDescent="0.15">
      <c r="A594" s="26"/>
      <c r="B594" s="73" t="s">
        <v>502</v>
      </c>
      <c r="C594" s="73" t="s">
        <v>13</v>
      </c>
      <c r="D594" s="75" t="s">
        <v>503</v>
      </c>
      <c r="E594" s="75"/>
      <c r="F594" s="26"/>
      <c r="G594" s="26"/>
      <c r="H594" s="26"/>
      <c r="I594" s="26"/>
      <c r="J594" s="26"/>
      <c r="K594" s="26"/>
    </row>
    <row r="595" spans="1:29" x14ac:dyDescent="0.15">
      <c r="A595" s="26"/>
      <c r="B595" s="73"/>
      <c r="C595" s="73"/>
      <c r="D595" s="73" t="s">
        <v>504</v>
      </c>
      <c r="E595" s="73"/>
      <c r="F595" s="26"/>
      <c r="G595" s="26"/>
      <c r="H595" s="26"/>
      <c r="I595" s="26"/>
      <c r="J595" s="26"/>
      <c r="K595" s="26"/>
    </row>
    <row r="596" spans="1:29" x14ac:dyDescent="0.1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</row>
    <row r="597" spans="1:29" x14ac:dyDescent="0.15">
      <c r="A597" s="26"/>
      <c r="B597" s="26"/>
      <c r="C597" s="73" t="s">
        <v>13</v>
      </c>
      <c r="D597" s="130">
        <f>P528</f>
        <v>360176.21429635468</v>
      </c>
      <c r="E597" s="130"/>
      <c r="F597" s="130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T597" s="26"/>
      <c r="U597" s="26"/>
    </row>
    <row r="598" spans="1:29" x14ac:dyDescent="0.15">
      <c r="A598" s="26"/>
      <c r="B598" s="26"/>
      <c r="C598" s="73"/>
      <c r="D598" s="132">
        <f>C590</f>
        <v>572074.87048309133</v>
      </c>
      <c r="E598" s="132"/>
      <c r="F598" s="132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T598" s="26"/>
      <c r="U598" s="26"/>
    </row>
    <row r="599" spans="1:29" x14ac:dyDescent="0.1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T599" s="26"/>
      <c r="U599" s="26"/>
    </row>
    <row r="600" spans="1:29" x14ac:dyDescent="0.15">
      <c r="A600" s="26"/>
      <c r="B600" s="26"/>
      <c r="C600" s="3" t="s">
        <v>195</v>
      </c>
      <c r="D600" s="128">
        <f>ROUNDUP(D597/D598,2)</f>
        <v>0.63</v>
      </c>
      <c r="E600" s="128"/>
      <c r="F600" s="73" t="s">
        <v>505</v>
      </c>
      <c r="G600" s="73"/>
      <c r="H600" s="3" t="s">
        <v>506</v>
      </c>
      <c r="I600" s="73" t="s">
        <v>507</v>
      </c>
      <c r="J600" s="73"/>
      <c r="K600" s="3" t="s">
        <v>195</v>
      </c>
      <c r="L600" s="73">
        <f>P518</f>
        <v>1.4249999999999998</v>
      </c>
      <c r="M600" s="73"/>
      <c r="N600" s="73" t="s">
        <v>505</v>
      </c>
      <c r="O600" s="73"/>
      <c r="T600" s="1" t="str">
        <f>IF(D600&lt;=L600,"OK","NG")</f>
        <v>OK</v>
      </c>
    </row>
    <row r="601" spans="1:29" x14ac:dyDescent="0.1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</row>
    <row r="602" spans="1:29" x14ac:dyDescent="0.15">
      <c r="A602" s="26"/>
      <c r="B602" s="26"/>
      <c r="C602" s="26"/>
      <c r="D602" s="26"/>
      <c r="E602" s="26"/>
      <c r="F602" s="3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</row>
  </sheetData>
  <mergeCells count="797">
    <mergeCell ref="O427:P427"/>
    <mergeCell ref="Q286:R286"/>
    <mergeCell ref="Q235:R235"/>
    <mergeCell ref="S86:U86"/>
    <mergeCell ref="A115:A118"/>
    <mergeCell ref="A119:A137"/>
    <mergeCell ref="A138:A148"/>
    <mergeCell ref="A112:I114"/>
    <mergeCell ref="O364:Q364"/>
    <mergeCell ref="O365:Q365"/>
    <mergeCell ref="B154:F154"/>
    <mergeCell ref="A365:B365"/>
    <mergeCell ref="G247:H247"/>
    <mergeCell ref="G249:I249"/>
    <mergeCell ref="K249:L249"/>
    <mergeCell ref="I291:J291"/>
    <mergeCell ref="K291:L291"/>
    <mergeCell ref="P283:Q283"/>
    <mergeCell ref="G250:J250"/>
    <mergeCell ref="K250:L250"/>
    <mergeCell ref="G253:H253"/>
    <mergeCell ref="K253:L253"/>
    <mergeCell ref="H254:I254"/>
    <mergeCell ref="F234:G234"/>
    <mergeCell ref="S240:T240"/>
    <mergeCell ref="R362:S362"/>
    <mergeCell ref="R363:S363"/>
    <mergeCell ref="R364:S364"/>
    <mergeCell ref="H179:I179"/>
    <mergeCell ref="L177:M177"/>
    <mergeCell ref="R365:S365"/>
    <mergeCell ref="R366:S366"/>
    <mergeCell ref="R367:S367"/>
    <mergeCell ref="I360:K360"/>
    <mergeCell ref="I361:K361"/>
    <mergeCell ref="G365:H365"/>
    <mergeCell ref="G366:H366"/>
    <mergeCell ref="G367:H367"/>
    <mergeCell ref="I362:K362"/>
    <mergeCell ref="I363:K363"/>
    <mergeCell ref="I364:K364"/>
    <mergeCell ref="I365:K365"/>
    <mergeCell ref="I366:K366"/>
    <mergeCell ref="I367:K367"/>
    <mergeCell ref="S232:T232"/>
    <mergeCell ref="I240:J240"/>
    <mergeCell ref="K286:L286"/>
    <mergeCell ref="O367:Q367"/>
    <mergeCell ref="G336:H336"/>
    <mergeCell ref="T172:U172"/>
    <mergeCell ref="T173:U173"/>
    <mergeCell ref="B155:C155"/>
    <mergeCell ref="D155:G155"/>
    <mergeCell ref="B158:F158"/>
    <mergeCell ref="O360:Q360"/>
    <mergeCell ref="O361:Q361"/>
    <mergeCell ref="B179:C179"/>
    <mergeCell ref="N177:O177"/>
    <mergeCell ref="N178:O178"/>
    <mergeCell ref="N179:O179"/>
    <mergeCell ref="I286:J286"/>
    <mergeCell ref="G307:H307"/>
    <mergeCell ref="G329:H329"/>
    <mergeCell ref="G330:H330"/>
    <mergeCell ref="D178:E178"/>
    <mergeCell ref="D179:E179"/>
    <mergeCell ref="N175:O175"/>
    <mergeCell ref="N176:O176"/>
    <mergeCell ref="J176:K176"/>
    <mergeCell ref="C360:D360"/>
    <mergeCell ref="C361:D361"/>
    <mergeCell ref="R361:S361"/>
    <mergeCell ref="G337:H337"/>
    <mergeCell ref="A367:B367"/>
    <mergeCell ref="C364:D364"/>
    <mergeCell ref="C365:D365"/>
    <mergeCell ref="C366:D366"/>
    <mergeCell ref="C367:D367"/>
    <mergeCell ref="G364:H364"/>
    <mergeCell ref="A366:B366"/>
    <mergeCell ref="E362:F362"/>
    <mergeCell ref="E363:F363"/>
    <mergeCell ref="E364:F364"/>
    <mergeCell ref="E365:F365"/>
    <mergeCell ref="E366:F366"/>
    <mergeCell ref="C362:D362"/>
    <mergeCell ref="C363:D363"/>
    <mergeCell ref="C6:E6"/>
    <mergeCell ref="C8:E8"/>
    <mergeCell ref="B227:G227"/>
    <mergeCell ref="D183:N183"/>
    <mergeCell ref="D184:N184"/>
    <mergeCell ref="D185:N185"/>
    <mergeCell ref="D186:I186"/>
    <mergeCell ref="G195:H195"/>
    <mergeCell ref="K196:L196"/>
    <mergeCell ref="J177:K177"/>
    <mergeCell ref="J178:K178"/>
    <mergeCell ref="J179:K179"/>
    <mergeCell ref="F177:G177"/>
    <mergeCell ref="F178:G178"/>
    <mergeCell ref="F179:G179"/>
    <mergeCell ref="G196:I196"/>
    <mergeCell ref="H177:I177"/>
    <mergeCell ref="H178:I178"/>
    <mergeCell ref="B177:C177"/>
    <mergeCell ref="B178:C178"/>
    <mergeCell ref="G193:H193"/>
    <mergeCell ref="F175:G175"/>
    <mergeCell ref="F176:G176"/>
    <mergeCell ref="D177:E177"/>
    <mergeCell ref="M142:O142"/>
    <mergeCell ref="H147:I147"/>
    <mergeCell ref="H148:I148"/>
    <mergeCell ref="H143:I143"/>
    <mergeCell ref="J147:L147"/>
    <mergeCell ref="J148:L148"/>
    <mergeCell ref="M148:O148"/>
    <mergeCell ref="H146:I146"/>
    <mergeCell ref="P146:R146"/>
    <mergeCell ref="P147:R147"/>
    <mergeCell ref="P148:R148"/>
    <mergeCell ref="M145:O145"/>
    <mergeCell ref="M146:O146"/>
    <mergeCell ref="M147:O147"/>
    <mergeCell ref="J146:L146"/>
    <mergeCell ref="J142:L142"/>
    <mergeCell ref="J145:L145"/>
    <mergeCell ref="M144:O144"/>
    <mergeCell ref="H144:I144"/>
    <mergeCell ref="H145:I145"/>
    <mergeCell ref="N174:O174"/>
    <mergeCell ref="F171:G171"/>
    <mergeCell ref="F172:G172"/>
    <mergeCell ref="F160:F161"/>
    <mergeCell ref="M163:M164"/>
    <mergeCell ref="J164:L164"/>
    <mergeCell ref="J161:L161"/>
    <mergeCell ref="M160:M161"/>
    <mergeCell ref="N171:O171"/>
    <mergeCell ref="N172:O172"/>
    <mergeCell ref="N173:O173"/>
    <mergeCell ref="H171:I171"/>
    <mergeCell ref="H172:I172"/>
    <mergeCell ref="H173:I173"/>
    <mergeCell ref="L171:M171"/>
    <mergeCell ref="L172:M172"/>
    <mergeCell ref="L173:M173"/>
    <mergeCell ref="L174:M174"/>
    <mergeCell ref="J171:K171"/>
    <mergeCell ref="J172:K172"/>
    <mergeCell ref="J173:K173"/>
    <mergeCell ref="J174:K174"/>
    <mergeCell ref="Y140:AA140"/>
    <mergeCell ref="Y141:AA141"/>
    <mergeCell ref="Y137:AA137"/>
    <mergeCell ref="Y138:AA138"/>
    <mergeCell ref="Y139:AA139"/>
    <mergeCell ref="Y143:AA143"/>
    <mergeCell ref="Y144:AA144"/>
    <mergeCell ref="Y145:AA145"/>
    <mergeCell ref="Y146:AA146"/>
    <mergeCell ref="Y142:AA142"/>
    <mergeCell ref="P140:R140"/>
    <mergeCell ref="M141:O141"/>
    <mergeCell ref="M139:O139"/>
    <mergeCell ref="V144:X144"/>
    <mergeCell ref="V145:X145"/>
    <mergeCell ref="S142:U142"/>
    <mergeCell ref="S143:U143"/>
    <mergeCell ref="S144:U144"/>
    <mergeCell ref="M143:O143"/>
    <mergeCell ref="J143:L143"/>
    <mergeCell ref="J144:L144"/>
    <mergeCell ref="S129:U129"/>
    <mergeCell ref="S130:U130"/>
    <mergeCell ref="S131:U131"/>
    <mergeCell ref="S132:U132"/>
    <mergeCell ref="S133:U133"/>
    <mergeCell ref="P141:R141"/>
    <mergeCell ref="P125:R125"/>
    <mergeCell ref="P126:R126"/>
    <mergeCell ref="P131:R131"/>
    <mergeCell ref="P134:R134"/>
    <mergeCell ref="P135:R135"/>
    <mergeCell ref="P128:R128"/>
    <mergeCell ref="P129:R129"/>
    <mergeCell ref="P132:R132"/>
    <mergeCell ref="P133:R133"/>
    <mergeCell ref="S128:U128"/>
    <mergeCell ref="J138:L138"/>
    <mergeCell ref="J139:L139"/>
    <mergeCell ref="J140:L140"/>
    <mergeCell ref="M120:O120"/>
    <mergeCell ref="M121:O121"/>
    <mergeCell ref="M122:O122"/>
    <mergeCell ref="M123:O123"/>
    <mergeCell ref="M124:O124"/>
    <mergeCell ref="M125:O125"/>
    <mergeCell ref="M126:O126"/>
    <mergeCell ref="M127:O127"/>
    <mergeCell ref="M131:O131"/>
    <mergeCell ref="M132:O132"/>
    <mergeCell ref="M135:O135"/>
    <mergeCell ref="M128:O128"/>
    <mergeCell ref="M129:O129"/>
    <mergeCell ref="M130:O130"/>
    <mergeCell ref="F129:G129"/>
    <mergeCell ref="F130:G130"/>
    <mergeCell ref="H140:I140"/>
    <mergeCell ref="M133:O133"/>
    <mergeCell ref="M134:O134"/>
    <mergeCell ref="H137:I137"/>
    <mergeCell ref="H127:I127"/>
    <mergeCell ref="H128:I128"/>
    <mergeCell ref="J128:L128"/>
    <mergeCell ref="J129:L129"/>
    <mergeCell ref="J130:L130"/>
    <mergeCell ref="J131:L131"/>
    <mergeCell ref="J132:L132"/>
    <mergeCell ref="J133:L133"/>
    <mergeCell ref="J134:L134"/>
    <mergeCell ref="M140:O140"/>
    <mergeCell ref="H133:I133"/>
    <mergeCell ref="H134:I134"/>
    <mergeCell ref="H135:I135"/>
    <mergeCell ref="H136:I136"/>
    <mergeCell ref="H139:I139"/>
    <mergeCell ref="H132:I132"/>
    <mergeCell ref="M136:O136"/>
    <mergeCell ref="M137:O137"/>
    <mergeCell ref="R11:S11"/>
    <mergeCell ref="R12:S12"/>
    <mergeCell ref="G35:H35"/>
    <mergeCell ref="G36:H36"/>
    <mergeCell ref="H54:J54"/>
    <mergeCell ref="H55:J55"/>
    <mergeCell ref="H53:J53"/>
    <mergeCell ref="J137:L137"/>
    <mergeCell ref="J119:L119"/>
    <mergeCell ref="J120:L120"/>
    <mergeCell ref="J121:L121"/>
    <mergeCell ref="J122:L122"/>
    <mergeCell ref="J123:L123"/>
    <mergeCell ref="J124:L124"/>
    <mergeCell ref="J125:L125"/>
    <mergeCell ref="J126:L126"/>
    <mergeCell ref="J127:L127"/>
    <mergeCell ref="H120:I120"/>
    <mergeCell ref="H121:I121"/>
    <mergeCell ref="H122:I122"/>
    <mergeCell ref="H123:I123"/>
    <mergeCell ref="H129:I129"/>
    <mergeCell ref="H130:I130"/>
    <mergeCell ref="H131:I131"/>
    <mergeCell ref="H125:I125"/>
    <mergeCell ref="H126:I126"/>
    <mergeCell ref="B138:E138"/>
    <mergeCell ref="F131:G131"/>
    <mergeCell ref="F132:G132"/>
    <mergeCell ref="F120:G120"/>
    <mergeCell ref="F121:G121"/>
    <mergeCell ref="B120:E120"/>
    <mergeCell ref="B121:E121"/>
    <mergeCell ref="B122:E124"/>
    <mergeCell ref="B125:E127"/>
    <mergeCell ref="B128:E130"/>
    <mergeCell ref="B131:E133"/>
    <mergeCell ref="B134:E134"/>
    <mergeCell ref="H138:I138"/>
    <mergeCell ref="F122:G122"/>
    <mergeCell ref="F123:G123"/>
    <mergeCell ref="F124:G124"/>
    <mergeCell ref="F125:G125"/>
    <mergeCell ref="F126:G126"/>
    <mergeCell ref="F133:G133"/>
    <mergeCell ref="F134:G134"/>
    <mergeCell ref="F127:G127"/>
    <mergeCell ref="F128:G128"/>
    <mergeCell ref="P10:Q10"/>
    <mergeCell ref="G28:H28"/>
    <mergeCell ref="K28:L28"/>
    <mergeCell ref="G38:H38"/>
    <mergeCell ref="K38:L38"/>
    <mergeCell ref="M10:N10"/>
    <mergeCell ref="G25:H25"/>
    <mergeCell ref="G26:H26"/>
    <mergeCell ref="H124:I124"/>
    <mergeCell ref="P119:R119"/>
    <mergeCell ref="P120:R120"/>
    <mergeCell ref="P121:R121"/>
    <mergeCell ref="P122:R122"/>
    <mergeCell ref="P123:R123"/>
    <mergeCell ref="P124:R124"/>
    <mergeCell ref="N86:O86"/>
    <mergeCell ref="N89:O89"/>
    <mergeCell ref="D59:G59"/>
    <mergeCell ref="E22:E23"/>
    <mergeCell ref="F22:F23"/>
    <mergeCell ref="F25:F26"/>
    <mergeCell ref="E32:E33"/>
    <mergeCell ref="F32:F33"/>
    <mergeCell ref="F35:F36"/>
    <mergeCell ref="D53:G53"/>
    <mergeCell ref="G166:H166"/>
    <mergeCell ref="D171:E171"/>
    <mergeCell ref="B135:G135"/>
    <mergeCell ref="B136:G136"/>
    <mergeCell ref="B137:G137"/>
    <mergeCell ref="B139:G139"/>
    <mergeCell ref="B140:G140"/>
    <mergeCell ref="B141:G141"/>
    <mergeCell ref="B142:G142"/>
    <mergeCell ref="B143:G143"/>
    <mergeCell ref="B144:G144"/>
    <mergeCell ref="H56:J56"/>
    <mergeCell ref="H57:J57"/>
    <mergeCell ref="H58:J58"/>
    <mergeCell ref="H59:J59"/>
    <mergeCell ref="D56:G56"/>
    <mergeCell ref="D57:G57"/>
    <mergeCell ref="O366:Q366"/>
    <mergeCell ref="I239:J239"/>
    <mergeCell ref="K240:L240"/>
    <mergeCell ref="G257:I257"/>
    <mergeCell ref="K280:L280"/>
    <mergeCell ref="B173:C173"/>
    <mergeCell ref="B174:C174"/>
    <mergeCell ref="B175:C175"/>
    <mergeCell ref="B176:C176"/>
    <mergeCell ref="D175:E175"/>
    <mergeCell ref="D176:E176"/>
    <mergeCell ref="L175:M175"/>
    <mergeCell ref="L176:M176"/>
    <mergeCell ref="J175:K175"/>
    <mergeCell ref="A360:B360"/>
    <mergeCell ref="A361:B361"/>
    <mergeCell ref="E360:F360"/>
    <mergeCell ref="E361:F361"/>
    <mergeCell ref="O362:Q362"/>
    <mergeCell ref="O363:Q363"/>
    <mergeCell ref="G197:J197"/>
    <mergeCell ref="G301:I301"/>
    <mergeCell ref="F301:F302"/>
    <mergeCell ref="E301:E302"/>
    <mergeCell ref="D172:E172"/>
    <mergeCell ref="E160:E161"/>
    <mergeCell ref="H160:H161"/>
    <mergeCell ref="B145:G145"/>
    <mergeCell ref="B146:G146"/>
    <mergeCell ref="D173:E173"/>
    <mergeCell ref="D174:E174"/>
    <mergeCell ref="H175:I175"/>
    <mergeCell ref="H176:I176"/>
    <mergeCell ref="F163:F164"/>
    <mergeCell ref="H163:H164"/>
    <mergeCell ref="I163:I164"/>
    <mergeCell ref="I160:I161"/>
    <mergeCell ref="C234:D234"/>
    <mergeCell ref="C285:D285"/>
    <mergeCell ref="F285:G285"/>
    <mergeCell ref="M381:N382"/>
    <mergeCell ref="G427:H427"/>
    <mergeCell ref="I427:J427"/>
    <mergeCell ref="G343:H343"/>
    <mergeCell ref="G354:H354"/>
    <mergeCell ref="H381:H382"/>
    <mergeCell ref="I381:I382"/>
    <mergeCell ref="D58:G58"/>
    <mergeCell ref="D63:H63"/>
    <mergeCell ref="I63:J63"/>
    <mergeCell ref="F119:G119"/>
    <mergeCell ref="D64:H64"/>
    <mergeCell ref="I64:J64"/>
    <mergeCell ref="B118:G118"/>
    <mergeCell ref="H115:I116"/>
    <mergeCell ref="H117:I117"/>
    <mergeCell ref="H118:I118"/>
    <mergeCell ref="G115:G116"/>
    <mergeCell ref="B115:F116"/>
    <mergeCell ref="B117:F117"/>
    <mergeCell ref="J113:L114"/>
    <mergeCell ref="H86:I86"/>
    <mergeCell ref="H89:I89"/>
    <mergeCell ref="L64:N64"/>
    <mergeCell ref="F376:F377"/>
    <mergeCell ref="F381:F382"/>
    <mergeCell ref="F435:F436"/>
    <mergeCell ref="G339:H339"/>
    <mergeCell ref="G345:H345"/>
    <mergeCell ref="G352:H352"/>
    <mergeCell ref="G355:I355"/>
    <mergeCell ref="G342:H342"/>
    <mergeCell ref="K381:L382"/>
    <mergeCell ref="F342:F343"/>
    <mergeCell ref="E367:F367"/>
    <mergeCell ref="G360:H360"/>
    <mergeCell ref="G361:H361"/>
    <mergeCell ref="G362:H362"/>
    <mergeCell ref="G363:H363"/>
    <mergeCell ref="E376:E377"/>
    <mergeCell ref="E381:E382"/>
    <mergeCell ref="D427:E427"/>
    <mergeCell ref="D390:L390"/>
    <mergeCell ref="J352:U352"/>
    <mergeCell ref="K422:L422"/>
    <mergeCell ref="P425:Q425"/>
    <mergeCell ref="R358:S359"/>
    <mergeCell ref="O358:Q359"/>
    <mergeCell ref="I305:J305"/>
    <mergeCell ref="G304:J304"/>
    <mergeCell ref="I358:K359"/>
    <mergeCell ref="F138:G138"/>
    <mergeCell ref="J135:L135"/>
    <mergeCell ref="J136:L136"/>
    <mergeCell ref="H141:I141"/>
    <mergeCell ref="H142:I142"/>
    <mergeCell ref="J141:L141"/>
    <mergeCell ref="K197:L197"/>
    <mergeCell ref="G200:I200"/>
    <mergeCell ref="L200:M200"/>
    <mergeCell ref="E358:F359"/>
    <mergeCell ref="F336:F337"/>
    <mergeCell ref="E336:E337"/>
    <mergeCell ref="E342:E343"/>
    <mergeCell ref="F304:F305"/>
    <mergeCell ref="F173:G173"/>
    <mergeCell ref="F174:G174"/>
    <mergeCell ref="H174:I174"/>
    <mergeCell ref="B148:G148"/>
    <mergeCell ref="B147:G147"/>
    <mergeCell ref="B171:C171"/>
    <mergeCell ref="B172:C172"/>
    <mergeCell ref="T367:U367"/>
    <mergeCell ref="Q307:R307"/>
    <mergeCell ref="K355:L355"/>
    <mergeCell ref="I307:J307"/>
    <mergeCell ref="L358:N359"/>
    <mergeCell ref="L360:N360"/>
    <mergeCell ref="G397:I397"/>
    <mergeCell ref="K397:L397"/>
    <mergeCell ref="G398:J398"/>
    <mergeCell ref="K398:L398"/>
    <mergeCell ref="A368:H368"/>
    <mergeCell ref="A369:H369"/>
    <mergeCell ref="L361:N361"/>
    <mergeCell ref="L362:N362"/>
    <mergeCell ref="L363:N363"/>
    <mergeCell ref="L364:N364"/>
    <mergeCell ref="L365:N365"/>
    <mergeCell ref="L366:N366"/>
    <mergeCell ref="L367:N367"/>
    <mergeCell ref="A358:B359"/>
    <mergeCell ref="C358:D359"/>
    <mergeCell ref="A362:B362"/>
    <mergeCell ref="A363:B363"/>
    <mergeCell ref="A364:B364"/>
    <mergeCell ref="Y112:AA114"/>
    <mergeCell ref="V115:X116"/>
    <mergeCell ref="J449:W449"/>
    <mergeCell ref="P484:Q484"/>
    <mergeCell ref="J381:J382"/>
    <mergeCell ref="L178:M178"/>
    <mergeCell ref="L179:M179"/>
    <mergeCell ref="G356:J356"/>
    <mergeCell ref="K232:N232"/>
    <mergeCell ref="K356:L356"/>
    <mergeCell ref="G358:H359"/>
    <mergeCell ref="I435:I436"/>
    <mergeCell ref="J435:J436"/>
    <mergeCell ref="G435:G436"/>
    <mergeCell ref="K435:K436"/>
    <mergeCell ref="N435:N436"/>
    <mergeCell ref="H438:I438"/>
    <mergeCell ref="M113:O114"/>
    <mergeCell ref="P113:R114"/>
    <mergeCell ref="S113:U114"/>
    <mergeCell ref="J115:L116"/>
    <mergeCell ref="M115:O116"/>
    <mergeCell ref="P115:R116"/>
    <mergeCell ref="K453:L453"/>
    <mergeCell ref="T363:U363"/>
    <mergeCell ref="T364:U364"/>
    <mergeCell ref="T365:U365"/>
    <mergeCell ref="T366:U366"/>
    <mergeCell ref="V125:X125"/>
    <mergeCell ref="V126:X126"/>
    <mergeCell ref="V127:X127"/>
    <mergeCell ref="V128:X128"/>
    <mergeCell ref="V129:X129"/>
    <mergeCell ref="V146:X146"/>
    <mergeCell ref="V147:X147"/>
    <mergeCell ref="V148:X148"/>
    <mergeCell ref="V137:X137"/>
    <mergeCell ref="V138:X138"/>
    <mergeCell ref="V139:X139"/>
    <mergeCell ref="V140:X140"/>
    <mergeCell ref="V141:X141"/>
    <mergeCell ref="V142:X142"/>
    <mergeCell ref="V143:X143"/>
    <mergeCell ref="S125:U125"/>
    <mergeCell ref="S126:U126"/>
    <mergeCell ref="S127:U127"/>
    <mergeCell ref="V132:X132"/>
    <mergeCell ref="V133:X133"/>
    <mergeCell ref="Z367:AA367"/>
    <mergeCell ref="V363:W363"/>
    <mergeCell ref="X363:Y363"/>
    <mergeCell ref="V364:W364"/>
    <mergeCell ref="X364:Y364"/>
    <mergeCell ref="V365:W365"/>
    <mergeCell ref="X365:Y365"/>
    <mergeCell ref="V366:W366"/>
    <mergeCell ref="X366:Y366"/>
    <mergeCell ref="V367:W367"/>
    <mergeCell ref="X367:Y367"/>
    <mergeCell ref="L63:N63"/>
    <mergeCell ref="J117:L117"/>
    <mergeCell ref="V117:X117"/>
    <mergeCell ref="S78:U78"/>
    <mergeCell ref="M117:O117"/>
    <mergeCell ref="Z363:AA363"/>
    <mergeCell ref="Z364:AA364"/>
    <mergeCell ref="Z365:AA365"/>
    <mergeCell ref="Z366:AA366"/>
    <mergeCell ref="Z358:AA359"/>
    <mergeCell ref="V360:W360"/>
    <mergeCell ref="X360:Y360"/>
    <mergeCell ref="V361:W361"/>
    <mergeCell ref="X361:Y361"/>
    <mergeCell ref="V362:W362"/>
    <mergeCell ref="X362:Y362"/>
    <mergeCell ref="Z360:AA360"/>
    <mergeCell ref="Z361:AA361"/>
    <mergeCell ref="Z362:AA362"/>
    <mergeCell ref="Y115:AA116"/>
    <mergeCell ref="S115:U116"/>
    <mergeCell ref="J112:O112"/>
    <mergeCell ref="P112:U112"/>
    <mergeCell ref="T362:U362"/>
    <mergeCell ref="B74:F74"/>
    <mergeCell ref="H78:I78"/>
    <mergeCell ref="V123:X123"/>
    <mergeCell ref="V124:X124"/>
    <mergeCell ref="K78:L78"/>
    <mergeCell ref="N78:O78"/>
    <mergeCell ref="V119:X119"/>
    <mergeCell ref="V120:X120"/>
    <mergeCell ref="V121:X121"/>
    <mergeCell ref="V122:X122"/>
    <mergeCell ref="V112:X114"/>
    <mergeCell ref="H81:I81"/>
    <mergeCell ref="K81:L81"/>
    <mergeCell ref="S81:U81"/>
    <mergeCell ref="K86:L86"/>
    <mergeCell ref="K89:L89"/>
    <mergeCell ref="S89:U89"/>
    <mergeCell ref="J118:L118"/>
    <mergeCell ref="H119:I119"/>
    <mergeCell ref="B119:E119"/>
    <mergeCell ref="M119:O119"/>
    <mergeCell ref="N81:O81"/>
    <mergeCell ref="S119:U119"/>
    <mergeCell ref="S120:U120"/>
    <mergeCell ref="T358:U359"/>
    <mergeCell ref="R360:S360"/>
    <mergeCell ref="P137:R137"/>
    <mergeCell ref="P136:R136"/>
    <mergeCell ref="P138:R138"/>
    <mergeCell ref="P139:R139"/>
    <mergeCell ref="S141:U141"/>
    <mergeCell ref="S286:T286"/>
    <mergeCell ref="R63:T63"/>
    <mergeCell ref="R64:T64"/>
    <mergeCell ref="O63:Q63"/>
    <mergeCell ref="O64:P64"/>
    <mergeCell ref="O232:P232"/>
    <mergeCell ref="N286:O286"/>
    <mergeCell ref="Q240:R240"/>
    <mergeCell ref="N235:O235"/>
    <mergeCell ref="N240:O240"/>
    <mergeCell ref="M138:O138"/>
    <mergeCell ref="S121:U121"/>
    <mergeCell ref="S122:U122"/>
    <mergeCell ref="S123:U123"/>
    <mergeCell ref="S124:U124"/>
    <mergeCell ref="P127:R127"/>
    <mergeCell ref="P130:R130"/>
    <mergeCell ref="V130:X130"/>
    <mergeCell ref="V131:X131"/>
    <mergeCell ref="Y119:AA119"/>
    <mergeCell ref="Y120:AA120"/>
    <mergeCell ref="Y121:AA121"/>
    <mergeCell ref="Y122:AA122"/>
    <mergeCell ref="Y123:AA123"/>
    <mergeCell ref="Y124:AA124"/>
    <mergeCell ref="Y125:AA125"/>
    <mergeCell ref="Y126:AA126"/>
    <mergeCell ref="Y127:AA127"/>
    <mergeCell ref="Y128:AA128"/>
    <mergeCell ref="Y129:AA129"/>
    <mergeCell ref="Y130:AA130"/>
    <mergeCell ref="Y131:AA131"/>
    <mergeCell ref="Y132:AA132"/>
    <mergeCell ref="Y133:AA133"/>
    <mergeCell ref="Y134:AA134"/>
    <mergeCell ref="Y135:AA135"/>
    <mergeCell ref="Y136:AA136"/>
    <mergeCell ref="Y147:AA147"/>
    <mergeCell ref="Y148:AA148"/>
    <mergeCell ref="P142:R142"/>
    <mergeCell ref="P143:R143"/>
    <mergeCell ref="P144:R144"/>
    <mergeCell ref="S134:U134"/>
    <mergeCell ref="S138:U138"/>
    <mergeCell ref="S139:U139"/>
    <mergeCell ref="V134:X134"/>
    <mergeCell ref="V135:X135"/>
    <mergeCell ref="V136:X136"/>
    <mergeCell ref="S135:U135"/>
    <mergeCell ref="S136:U136"/>
    <mergeCell ref="S137:U137"/>
    <mergeCell ref="S140:U140"/>
    <mergeCell ref="P145:R145"/>
    <mergeCell ref="G199:H199"/>
    <mergeCell ref="H201:I201"/>
    <mergeCell ref="G203:H203"/>
    <mergeCell ref="S235:T235"/>
    <mergeCell ref="S145:U145"/>
    <mergeCell ref="S146:U146"/>
    <mergeCell ref="S147:U147"/>
    <mergeCell ref="S148:U148"/>
    <mergeCell ref="Z368:AA368"/>
    <mergeCell ref="N253:O253"/>
    <mergeCell ref="Q291:R291"/>
    <mergeCell ref="G299:I299"/>
    <mergeCell ref="N291:O291"/>
    <mergeCell ref="G298:H298"/>
    <mergeCell ref="O200:P200"/>
    <mergeCell ref="G204:I204"/>
    <mergeCell ref="H229:I229"/>
    <mergeCell ref="I235:J235"/>
    <mergeCell ref="K235:L235"/>
    <mergeCell ref="T360:U360"/>
    <mergeCell ref="T361:U361"/>
    <mergeCell ref="S307:T307"/>
    <mergeCell ref="V358:W359"/>
    <mergeCell ref="X358:Y359"/>
    <mergeCell ref="R369:S369"/>
    <mergeCell ref="T369:U369"/>
    <mergeCell ref="V369:W369"/>
    <mergeCell ref="X369:Y369"/>
    <mergeCell ref="Z369:AA369"/>
    <mergeCell ref="I369:K369"/>
    <mergeCell ref="L369:N369"/>
    <mergeCell ref="O369:Q369"/>
    <mergeCell ref="I368:K368"/>
    <mergeCell ref="L368:N368"/>
    <mergeCell ref="O368:Q368"/>
    <mergeCell ref="R368:S368"/>
    <mergeCell ref="T368:U368"/>
    <mergeCell ref="V368:W368"/>
    <mergeCell ref="X368:Y368"/>
    <mergeCell ref="W386:X386"/>
    <mergeCell ref="G497:G498"/>
    <mergeCell ref="J497:J498"/>
    <mergeCell ref="K497:K498"/>
    <mergeCell ref="L497:L498"/>
    <mergeCell ref="O438:O439"/>
    <mergeCell ref="G431:H431"/>
    <mergeCell ref="I431:J431"/>
    <mergeCell ref="L495:M495"/>
    <mergeCell ref="G494:G495"/>
    <mergeCell ref="I494:I495"/>
    <mergeCell ref="J494:J495"/>
    <mergeCell ref="G449:H449"/>
    <mergeCell ref="G451:H451"/>
    <mergeCell ref="G438:G439"/>
    <mergeCell ref="J438:J439"/>
    <mergeCell ref="G441:H441"/>
    <mergeCell ref="K494:K495"/>
    <mergeCell ref="O497:O498"/>
    <mergeCell ref="H497:I497"/>
    <mergeCell ref="K481:L481"/>
    <mergeCell ref="G452:I452"/>
    <mergeCell ref="K452:L452"/>
    <mergeCell ref="G453:J453"/>
    <mergeCell ref="C597:C598"/>
    <mergeCell ref="M549:N549"/>
    <mergeCell ref="D598:F598"/>
    <mergeCell ref="O584:P584"/>
    <mergeCell ref="N588:O588"/>
    <mergeCell ref="J585:K585"/>
    <mergeCell ref="J589:K589"/>
    <mergeCell ref="O589:P589"/>
    <mergeCell ref="R518:S518"/>
    <mergeCell ref="P527:Q527"/>
    <mergeCell ref="S527:T527"/>
    <mergeCell ref="P539:Q539"/>
    <mergeCell ref="O533:O534"/>
    <mergeCell ref="O536:O537"/>
    <mergeCell ref="P518:Q518"/>
    <mergeCell ref="P534:Q534"/>
    <mergeCell ref="P533:U533"/>
    <mergeCell ref="P531:Q531"/>
    <mergeCell ref="Q536:S536"/>
    <mergeCell ref="T539:U539"/>
    <mergeCell ref="T547:U547"/>
    <mergeCell ref="C594:C595"/>
    <mergeCell ref="B594:B595"/>
    <mergeCell ref="U585:V585"/>
    <mergeCell ref="V589:W589"/>
    <mergeCell ref="F578:G578"/>
    <mergeCell ref="T575:U575"/>
    <mergeCell ref="T577:U577"/>
    <mergeCell ref="T579:U579"/>
    <mergeCell ref="S589:T589"/>
    <mergeCell ref="D594:E594"/>
    <mergeCell ref="D595:E595"/>
    <mergeCell ref="C590:E590"/>
    <mergeCell ref="E584:F584"/>
    <mergeCell ref="D588:E588"/>
    <mergeCell ref="I580:J580"/>
    <mergeCell ref="I576:J576"/>
    <mergeCell ref="F576:G576"/>
    <mergeCell ref="P117:R117"/>
    <mergeCell ref="P118:R118"/>
    <mergeCell ref="P542:Q542"/>
    <mergeCell ref="D597:F597"/>
    <mergeCell ref="P547:Q547"/>
    <mergeCell ref="H386:I386"/>
    <mergeCell ref="G500:H500"/>
    <mergeCell ref="K500:L500"/>
    <mergeCell ref="M510:N510"/>
    <mergeCell ref="F438:F439"/>
    <mergeCell ref="G486:H486"/>
    <mergeCell ref="I486:J486"/>
    <mergeCell ref="L486:M486"/>
    <mergeCell ref="M438:N438"/>
    <mergeCell ref="M439:N439"/>
    <mergeCell ref="M512:N512"/>
    <mergeCell ref="Q427:R427"/>
    <mergeCell ref="O431:P431"/>
    <mergeCell ref="Q431:R431"/>
    <mergeCell ref="Q486:R486"/>
    <mergeCell ref="O490:P490"/>
    <mergeCell ref="Q490:R490"/>
    <mergeCell ref="L438:L439"/>
    <mergeCell ref="K441:L441"/>
    <mergeCell ref="U386:V386"/>
    <mergeCell ref="D600:E600"/>
    <mergeCell ref="F600:G600"/>
    <mergeCell ref="L600:M600"/>
    <mergeCell ref="N600:O600"/>
    <mergeCell ref="I600:J600"/>
    <mergeCell ref="K578:L578"/>
    <mergeCell ref="I579:J579"/>
    <mergeCell ref="L579:M579"/>
    <mergeCell ref="L436:M436"/>
    <mergeCell ref="L431:M431"/>
    <mergeCell ref="L427:M427"/>
    <mergeCell ref="K438:K439"/>
    <mergeCell ref="H439:I439"/>
    <mergeCell ref="G394:H394"/>
    <mergeCell ref="G396:H396"/>
    <mergeCell ref="D486:E486"/>
    <mergeCell ref="D490:E490"/>
    <mergeCell ref="L490:M490"/>
    <mergeCell ref="E435:E436"/>
    <mergeCell ref="E494:E495"/>
    <mergeCell ref="F494:F495"/>
    <mergeCell ref="F497:F498"/>
    <mergeCell ref="O486:P486"/>
    <mergeCell ref="M118:O118"/>
    <mergeCell ref="S117:U117"/>
    <mergeCell ref="S118:U118"/>
    <mergeCell ref="Y117:AA117"/>
    <mergeCell ref="V118:X118"/>
    <mergeCell ref="Y118:AA118"/>
    <mergeCell ref="F574:G574"/>
    <mergeCell ref="I574:J574"/>
    <mergeCell ref="O544:O545"/>
    <mergeCell ref="Q544:S544"/>
    <mergeCell ref="L550:M550"/>
    <mergeCell ref="P528:R528"/>
    <mergeCell ref="O541:O542"/>
    <mergeCell ref="P541:U541"/>
    <mergeCell ref="M530:N530"/>
    <mergeCell ref="H498:I498"/>
    <mergeCell ref="M497:N497"/>
    <mergeCell ref="M498:N498"/>
    <mergeCell ref="N494:N495"/>
    <mergeCell ref="G490:H490"/>
    <mergeCell ref="I490:J490"/>
    <mergeCell ref="L494:M494"/>
    <mergeCell ref="M515:N515"/>
    <mergeCell ref="M517:N517"/>
  </mergeCells>
  <phoneticPr fontId="2"/>
  <pageMargins left="0.70866141732283472" right="0.70866141732283472" top="0.74803149606299213" bottom="0.74803149606299213" header="0.31496062992125984" footer="0.31496062992125984"/>
  <pageSetup paperSize="9" scale="85" firstPageNumber="54" orientation="portrait" useFirstPageNumber="1" r:id="rId1"/>
  <headerFooter>
    <oddFooter>&amp;C&amp;"ＭＳ Ｐゴシック,標準"&amp;10Ⅱ&amp;"Times New Roman,標準"-&amp;P</oddFooter>
  </headerFooter>
  <rowBreaks count="11" manualBreakCount="11">
    <brk id="66" max="16383" man="1"/>
    <brk id="104" max="16383" man="1"/>
    <brk id="150" max="16383" man="1"/>
    <brk id="188" max="16383" man="1"/>
    <brk id="242" max="16383" man="1"/>
    <brk id="293" max="16383" man="1"/>
    <brk id="347" max="16383" man="1"/>
    <brk id="388" max="16383" man="1"/>
    <brk id="443" max="16383" man="1"/>
    <brk id="502" max="16383" man="1"/>
    <brk id="551" max="26" man="1"/>
  </rowBreaks>
  <colBreaks count="2" manualBreakCount="2">
    <brk id="28" max="608" man="1"/>
    <brk id="30" max="61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落橋防止構造一般図 </vt:lpstr>
      <vt:lpstr>落橋防止構造</vt:lpstr>
      <vt:lpstr>水平力分担構造一般図</vt:lpstr>
      <vt:lpstr>水平力分担構造</vt:lpstr>
      <vt:lpstr>水平力分担構造!Print_Area</vt:lpstr>
      <vt:lpstr>落橋防止構造!Print_Area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khadmin</dc:creator>
  <cp:lastModifiedBy>satoy</cp:lastModifiedBy>
  <cp:lastPrinted>2019-11-28T12:30:24Z</cp:lastPrinted>
  <dcterms:created xsi:type="dcterms:W3CDTF">2018-11-29T01:37:44Z</dcterms:created>
  <dcterms:modified xsi:type="dcterms:W3CDTF">2019-11-28T12:30:42Z</dcterms:modified>
</cp:coreProperties>
</file>